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eskom-my.sharepoint.com/personal/mokgoaml_eskom_co_za/Documents/Documents/"/>
    </mc:Choice>
  </mc:AlternateContent>
  <xr:revisionPtr revIDLastSave="0" documentId="8_{34A80F8C-E6C9-4D6B-9330-F41707AE5C38}" xr6:coauthVersionLast="47" xr6:coauthVersionMax="47" xr10:uidLastSave="{00000000-0000-0000-0000-000000000000}"/>
  <bookViews>
    <workbookView xWindow="-110" yWindow="-110" windowWidth="19420" windowHeight="10300" tabRatio="798" firstSheet="2" activeTab="5" xr2:uid="{00000000-000D-0000-FFFF-FFFF00000000}"/>
  </bookViews>
  <sheets>
    <sheet name="TEC Development Guidelines" sheetId="12" r:id="rId1"/>
    <sheet name="Response Guidelines" sheetId="2" state="hidden" r:id="rId2"/>
    <sheet name="Scoring Summary" sheetId="3" r:id="rId3"/>
    <sheet name="Key Requirements" sheetId="4" r:id="rId4"/>
    <sheet name="Functional" sheetId="5" r:id="rId5"/>
    <sheet name="Non-Functional" sheetId="6" r:id="rId6"/>
    <sheet name="Testing (2)" sheetId="14" state="hidden" r:id="rId7"/>
    <sheet name="Cloud" sheetId="16" r:id="rId8"/>
    <sheet name="Security" sheetId="9" r:id="rId9"/>
    <sheet name="Demo" sheetId="10" r:id="rId10"/>
    <sheet name="0" sheetId="15" state="hidden" r:id="rId11"/>
    <sheet name="Definitions and Abbreviations"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3" l="1"/>
  <c r="D19" i="3"/>
  <c r="L60" i="9"/>
  <c r="H44" i="9"/>
  <c r="H46" i="9"/>
  <c r="H48" i="9"/>
  <c r="H50" i="9"/>
  <c r="H52" i="9"/>
  <c r="H54" i="9"/>
  <c r="H56" i="9"/>
  <c r="H58" i="9"/>
  <c r="H42" i="9"/>
  <c r="K102" i="10"/>
  <c r="E100" i="10"/>
  <c r="E98" i="10"/>
  <c r="E96" i="10"/>
  <c r="E94" i="10"/>
  <c r="E92" i="10"/>
  <c r="E90" i="10"/>
  <c r="E88" i="10"/>
  <c r="E48" i="10"/>
  <c r="E58" i="10"/>
  <c r="H47" i="10"/>
  <c r="E33" i="10"/>
  <c r="E31" i="10"/>
  <c r="H39" i="16"/>
  <c r="H97" i="6"/>
  <c r="I88" i="6"/>
  <c r="E21" i="10"/>
  <c r="H94" i="6"/>
  <c r="I94" i="6" s="1"/>
  <c r="H91" i="6"/>
  <c r="I91" i="6" s="1"/>
  <c r="H88" i="6"/>
  <c r="H85" i="6"/>
  <c r="I85" i="6" s="1"/>
  <c r="H79" i="6"/>
  <c r="E86" i="10"/>
  <c r="F17" i="3"/>
  <c r="F16" i="3"/>
  <c r="H34" i="16"/>
  <c r="H30" i="16"/>
  <c r="H32" i="16"/>
  <c r="H28" i="16"/>
  <c r="H36" i="16"/>
  <c r="K27" i="16"/>
  <c r="H25" i="16"/>
  <c r="H23" i="16"/>
  <c r="C6" i="16"/>
  <c r="C3" i="16"/>
  <c r="C4" i="16"/>
  <c r="C5" i="16"/>
  <c r="C2" i="16"/>
  <c r="H20" i="16"/>
  <c r="H16" i="16"/>
  <c r="H18" i="16"/>
  <c r="H70" i="6"/>
  <c r="K24" i="16"/>
  <c r="K22" i="16"/>
  <c r="K19" i="16"/>
  <c r="K17" i="16"/>
  <c r="L39" i="16"/>
  <c r="H55" i="5"/>
  <c r="H65" i="5"/>
  <c r="H40" i="5"/>
  <c r="H38" i="5"/>
  <c r="H77" i="6"/>
  <c r="I25" i="16" l="1"/>
  <c r="H40" i="9"/>
  <c r="K95" i="6"/>
  <c r="K96" i="6"/>
  <c r="K92" i="6"/>
  <c r="K93" i="6"/>
  <c r="K89" i="6"/>
  <c r="K90" i="6"/>
  <c r="K86" i="6"/>
  <c r="K87" i="6"/>
  <c r="H21" i="4"/>
  <c r="H16" i="4"/>
  <c r="H26" i="4" s="1"/>
  <c r="H12" i="5"/>
  <c r="H16" i="5"/>
  <c r="I34" i="16" l="1"/>
  <c r="K34" i="16" s="1"/>
  <c r="I30" i="16"/>
  <c r="K30" i="16" s="1"/>
  <c r="I32" i="16"/>
  <c r="K32" i="16" s="1"/>
  <c r="I28" i="16"/>
  <c r="K28" i="16" s="1"/>
  <c r="I36" i="16"/>
  <c r="K25" i="16"/>
  <c r="K26" i="16"/>
  <c r="I23" i="16"/>
  <c r="K23" i="16" s="1"/>
  <c r="I16" i="16"/>
  <c r="I18" i="16"/>
  <c r="K18" i="16" s="1"/>
  <c r="I20" i="16"/>
  <c r="K20" i="16" s="1"/>
  <c r="K17" i="5"/>
  <c r="K84" i="6"/>
  <c r="E17" i="10"/>
  <c r="K16" i="16" l="1"/>
  <c r="I39" i="16"/>
  <c r="K37" i="16"/>
  <c r="K36" i="16"/>
  <c r="K21" i="16"/>
  <c r="H58" i="6"/>
  <c r="H56" i="6"/>
  <c r="H52" i="6"/>
  <c r="H54" i="6"/>
  <c r="H50" i="6"/>
  <c r="H121" i="5"/>
  <c r="H123" i="5"/>
  <c r="H117" i="5"/>
  <c r="H119" i="5"/>
  <c r="H109" i="5"/>
  <c r="H111" i="5"/>
  <c r="H113" i="5"/>
  <c r="H115" i="5"/>
  <c r="H107" i="5"/>
  <c r="H105" i="5"/>
  <c r="L127" i="5"/>
  <c r="H96" i="5"/>
  <c r="H100" i="5"/>
  <c r="H92" i="5"/>
  <c r="H94" i="5"/>
  <c r="L181" i="14" l="1"/>
  <c r="H176" i="14"/>
  <c r="H171" i="14"/>
  <c r="H166" i="14"/>
  <c r="H161" i="14"/>
  <c r="H156" i="14"/>
  <c r="H151" i="14"/>
  <c r="H146" i="14"/>
  <c r="H141" i="14"/>
  <c r="H136" i="14"/>
  <c r="H131" i="14"/>
  <c r="H126" i="14"/>
  <c r="H121" i="14"/>
  <c r="H116" i="14"/>
  <c r="H111" i="14"/>
  <c r="H106" i="14"/>
  <c r="H101" i="14"/>
  <c r="H96" i="14"/>
  <c r="H91" i="14"/>
  <c r="H86" i="14"/>
  <c r="H81" i="14"/>
  <c r="H76" i="14"/>
  <c r="H71" i="14"/>
  <c r="H66" i="14"/>
  <c r="H61" i="14"/>
  <c r="H56" i="14"/>
  <c r="H51" i="14"/>
  <c r="H46" i="14"/>
  <c r="H41" i="14"/>
  <c r="H36" i="14"/>
  <c r="H31" i="14"/>
  <c r="H26" i="14"/>
  <c r="H21" i="14"/>
  <c r="H16" i="14"/>
  <c r="C6" i="14"/>
  <c r="C5" i="14"/>
  <c r="C4" i="14"/>
  <c r="C3" i="14"/>
  <c r="C2" i="14"/>
  <c r="H181" i="14" l="1"/>
  <c r="I116" i="14"/>
  <c r="I96" i="14"/>
  <c r="I76" i="14"/>
  <c r="I166" i="14"/>
  <c r="I46" i="14"/>
  <c r="I56" i="14"/>
  <c r="I126" i="14"/>
  <c r="I16" i="14"/>
  <c r="I121" i="14"/>
  <c r="I86" i="14"/>
  <c r="I171" i="14"/>
  <c r="I146" i="14"/>
  <c r="I26" i="14"/>
  <c r="I21" i="14"/>
  <c r="I31" i="14"/>
  <c r="I36" i="14"/>
  <c r="I81" i="14"/>
  <c r="I41" i="14"/>
  <c r="I141" i="14"/>
  <c r="I106" i="14"/>
  <c r="I176" i="14"/>
  <c r="I131" i="14"/>
  <c r="I51" i="14"/>
  <c r="I101" i="14"/>
  <c r="I156" i="14"/>
  <c r="I136" i="14"/>
  <c r="I91" i="14"/>
  <c r="I161" i="14"/>
  <c r="I61" i="14"/>
  <c r="I66" i="14"/>
  <c r="I151" i="14"/>
  <c r="I71" i="14"/>
  <c r="I111" i="14"/>
  <c r="K46" i="14" l="1"/>
  <c r="K166" i="14"/>
  <c r="K146" i="14"/>
  <c r="K66" i="14"/>
  <c r="K121" i="14"/>
  <c r="K161" i="14"/>
  <c r="K136" i="14"/>
  <c r="K126" i="14"/>
  <c r="K36" i="14"/>
  <c r="K76" i="14"/>
  <c r="K151" i="14"/>
  <c r="K61" i="14"/>
  <c r="K41" i="14"/>
  <c r="K156" i="14"/>
  <c r="K56" i="14"/>
  <c r="K31" i="14"/>
  <c r="K96" i="14"/>
  <c r="K171" i="14"/>
  <c r="K106" i="14"/>
  <c r="K141" i="14"/>
  <c r="K91" i="14"/>
  <c r="K101" i="14"/>
  <c r="K81" i="14"/>
  <c r="K21" i="14"/>
  <c r="K116" i="14"/>
  <c r="K176" i="14"/>
  <c r="K111" i="14"/>
  <c r="I181" i="14"/>
  <c r="K16" i="14"/>
  <c r="K18" i="14" s="1"/>
  <c r="K71" i="14"/>
  <c r="K51" i="14"/>
  <c r="K131" i="14"/>
  <c r="K26" i="14"/>
  <c r="K28" i="14" s="1"/>
  <c r="C77" i="2" l="1"/>
  <c r="C76" i="2"/>
  <c r="L30" i="12"/>
  <c r="H25" i="12"/>
  <c r="H20" i="12"/>
  <c r="H16" i="9"/>
  <c r="H30" i="12" l="1"/>
  <c r="E23" i="10"/>
  <c r="E27" i="10"/>
  <c r="E29" i="10"/>
  <c r="E65" i="10"/>
  <c r="E67" i="10"/>
  <c r="E72" i="10"/>
  <c r="E74" i="10"/>
  <c r="E76" i="10"/>
  <c r="E78" i="10"/>
  <c r="E80" i="10"/>
  <c r="E82" i="10"/>
  <c r="H20" i="9"/>
  <c r="H22" i="9"/>
  <c r="H24" i="9"/>
  <c r="H26" i="9"/>
  <c r="H28" i="9"/>
  <c r="H30" i="9"/>
  <c r="H32" i="9"/>
  <c r="H34" i="9"/>
  <c r="H36" i="9"/>
  <c r="H38" i="9"/>
  <c r="H18" i="9"/>
  <c r="H60" i="9" s="1"/>
  <c r="H16" i="6"/>
  <c r="H20" i="6"/>
  <c r="H22" i="6"/>
  <c r="H24" i="6"/>
  <c r="H26" i="6"/>
  <c r="H28" i="6"/>
  <c r="H30" i="6"/>
  <c r="H32" i="6"/>
  <c r="H34" i="6"/>
  <c r="H36" i="6"/>
  <c r="H38" i="6"/>
  <c r="H40" i="6"/>
  <c r="H42" i="6"/>
  <c r="H44" i="6"/>
  <c r="H46" i="6"/>
  <c r="H48" i="6"/>
  <c r="H60" i="6"/>
  <c r="H62" i="6"/>
  <c r="H68" i="6"/>
  <c r="H74" i="6"/>
  <c r="H18" i="6"/>
  <c r="H18" i="5"/>
  <c r="H20" i="5"/>
  <c r="H25" i="5"/>
  <c r="H27" i="5"/>
  <c r="H29" i="5"/>
  <c r="H32" i="5"/>
  <c r="H34" i="5"/>
  <c r="H36" i="5"/>
  <c r="H69" i="5"/>
  <c r="H75" i="5"/>
  <c r="H79" i="5"/>
  <c r="H82" i="5"/>
  <c r="H89" i="5"/>
  <c r="I44" i="9" l="1"/>
  <c r="K44" i="9" s="1"/>
  <c r="I46" i="9"/>
  <c r="K46" i="9" s="1"/>
  <c r="I48" i="9"/>
  <c r="K48" i="9" s="1"/>
  <c r="I50" i="9"/>
  <c r="K50" i="9" s="1"/>
  <c r="I52" i="9"/>
  <c r="K52" i="9" s="1"/>
  <c r="I54" i="9"/>
  <c r="K54" i="9" s="1"/>
  <c r="I56" i="9"/>
  <c r="K56" i="9" s="1"/>
  <c r="I58" i="9"/>
  <c r="K58" i="9" s="1"/>
  <c r="I42" i="9"/>
  <c r="K42" i="9" s="1"/>
  <c r="F103" i="10"/>
  <c r="K94" i="6"/>
  <c r="K91" i="6"/>
  <c r="K88" i="6"/>
  <c r="C7" i="10"/>
  <c r="C6" i="10"/>
  <c r="C5" i="10"/>
  <c r="C6" i="9"/>
  <c r="C5" i="9"/>
  <c r="C4" i="9"/>
  <c r="C3" i="9"/>
  <c r="C2" i="9"/>
  <c r="L97" i="6"/>
  <c r="C6" i="6"/>
  <c r="C5" i="6"/>
  <c r="C4" i="6"/>
  <c r="C3" i="6"/>
  <c r="C2" i="6"/>
  <c r="C2" i="5"/>
  <c r="C3" i="5"/>
  <c r="C4" i="5"/>
  <c r="C5" i="5"/>
  <c r="C6" i="5"/>
  <c r="C2" i="4"/>
  <c r="C4" i="4"/>
  <c r="C5" i="4"/>
  <c r="C6" i="4"/>
  <c r="I25" i="12"/>
  <c r="I20" i="12"/>
  <c r="I24" i="9" l="1"/>
  <c r="I18" i="9"/>
  <c r="I36" i="9"/>
  <c r="F92" i="10"/>
  <c r="H92" i="10" s="1"/>
  <c r="F100" i="10"/>
  <c r="F98" i="10"/>
  <c r="F96" i="10"/>
  <c r="H96" i="10" s="1"/>
  <c r="F94" i="10"/>
  <c r="H94" i="10" s="1"/>
  <c r="F90" i="10"/>
  <c r="H90" i="10" s="1"/>
  <c r="F88" i="10"/>
  <c r="H88" i="10" s="1"/>
  <c r="F58" i="10"/>
  <c r="F48" i="10"/>
  <c r="F31" i="10"/>
  <c r="H31" i="10" s="1"/>
  <c r="F33" i="10"/>
  <c r="F21" i="10"/>
  <c r="F86" i="10"/>
  <c r="H86" i="10" s="1"/>
  <c r="F17" i="10"/>
  <c r="K85" i="6"/>
  <c r="I28" i="9"/>
  <c r="I26" i="9"/>
  <c r="I32" i="9"/>
  <c r="I30" i="9"/>
  <c r="I20" i="9"/>
  <c r="I38" i="9"/>
  <c r="I40" i="9"/>
  <c r="K40" i="9" s="1"/>
  <c r="I16" i="9"/>
  <c r="I34" i="9"/>
  <c r="I22" i="9"/>
  <c r="K25" i="12"/>
  <c r="I30" i="12"/>
  <c r="K20" i="12"/>
  <c r="K22" i="12" s="1"/>
  <c r="I16" i="6"/>
  <c r="H127" i="5"/>
  <c r="I55" i="5" s="1"/>
  <c r="F74" i="10"/>
  <c r="H74" i="10" s="1"/>
  <c r="F29" i="10"/>
  <c r="H29" i="10" s="1"/>
  <c r="F67" i="10"/>
  <c r="F65" i="10"/>
  <c r="H65" i="10" s="1"/>
  <c r="F82" i="10"/>
  <c r="H82" i="10" s="1"/>
  <c r="F23" i="10"/>
  <c r="F78" i="10"/>
  <c r="H78" i="10" s="1"/>
  <c r="F80" i="10"/>
  <c r="H80" i="10" s="1"/>
  <c r="F76" i="10"/>
  <c r="H76" i="10" s="1"/>
  <c r="F27" i="10"/>
  <c r="H27" i="10" s="1"/>
  <c r="F72" i="10"/>
  <c r="H72" i="10" s="1"/>
  <c r="I60" i="9" l="1"/>
  <c r="G103" i="10"/>
  <c r="H46" i="10"/>
  <c r="H45" i="10"/>
  <c r="H44" i="10"/>
  <c r="H43" i="10"/>
  <c r="H42" i="10"/>
  <c r="H41" i="10"/>
  <c r="H40" i="10"/>
  <c r="H39" i="10"/>
  <c r="H38" i="10"/>
  <c r="H37" i="10"/>
  <c r="H36" i="10"/>
  <c r="H35" i="10"/>
  <c r="H34" i="10"/>
  <c r="H33" i="10"/>
  <c r="K63" i="5"/>
  <c r="K62" i="5"/>
  <c r="K61" i="5"/>
  <c r="K60" i="5"/>
  <c r="K59" i="5"/>
  <c r="K58" i="5"/>
  <c r="K57" i="5"/>
  <c r="K56" i="5"/>
  <c r="K55" i="5"/>
  <c r="I38" i="5"/>
  <c r="K38" i="5" s="1"/>
  <c r="I40" i="5"/>
  <c r="K41" i="5" s="1"/>
  <c r="I58" i="6"/>
  <c r="K58" i="6" s="1"/>
  <c r="I77" i="6"/>
  <c r="K77" i="6" s="1"/>
  <c r="H17" i="10"/>
  <c r="H18" i="10" s="1"/>
  <c r="L26" i="4"/>
  <c r="F14" i="3" s="1"/>
  <c r="H84" i="10"/>
  <c r="H83" i="10"/>
  <c r="H68" i="10"/>
  <c r="H67" i="10"/>
  <c r="H63" i="10"/>
  <c r="H62" i="10"/>
  <c r="H58" i="10"/>
  <c r="H61" i="10"/>
  <c r="H60" i="10"/>
  <c r="H59" i="10"/>
  <c r="H25" i="10"/>
  <c r="H24" i="10"/>
  <c r="H23" i="10"/>
  <c r="K28" i="9"/>
  <c r="K38" i="9"/>
  <c r="K22" i="9"/>
  <c r="K34" i="9"/>
  <c r="K32" i="9"/>
  <c r="K36" i="9"/>
  <c r="K18" i="9"/>
  <c r="K24" i="9"/>
  <c r="K30" i="9"/>
  <c r="K20" i="9"/>
  <c r="K26" i="9"/>
  <c r="H21" i="10"/>
  <c r="K16" i="9"/>
  <c r="I89" i="5"/>
  <c r="I82" i="5"/>
  <c r="I92" i="5"/>
  <c r="I117" i="5"/>
  <c r="I115" i="5"/>
  <c r="I65" i="5"/>
  <c r="I12" i="5"/>
  <c r="I121" i="5"/>
  <c r="I96" i="5"/>
  <c r="I94" i="5"/>
  <c r="I27" i="5"/>
  <c r="I18" i="5"/>
  <c r="I123" i="5"/>
  <c r="I32" i="5"/>
  <c r="I29" i="5"/>
  <c r="I79" i="5"/>
  <c r="I109" i="5"/>
  <c r="I107" i="5"/>
  <c r="I25" i="5"/>
  <c r="I105" i="5"/>
  <c r="I16" i="5"/>
  <c r="I20" i="5"/>
  <c r="I113" i="5"/>
  <c r="I111" i="5"/>
  <c r="I36" i="5"/>
  <c r="I34" i="5"/>
  <c r="I100" i="5"/>
  <c r="I119" i="5"/>
  <c r="I75" i="5"/>
  <c r="I69" i="5"/>
  <c r="I16" i="4"/>
  <c r="I21" i="4"/>
  <c r="I79" i="6"/>
  <c r="I56" i="6"/>
  <c r="I42" i="6"/>
  <c r="I70" i="6"/>
  <c r="I60" i="6"/>
  <c r="I24" i="6"/>
  <c r="I36" i="6"/>
  <c r="I18" i="6"/>
  <c r="I40" i="6"/>
  <c r="I28" i="6"/>
  <c r="I26" i="6"/>
  <c r="I38" i="6"/>
  <c r="I74" i="6"/>
  <c r="K75" i="6" s="1"/>
  <c r="I48" i="6"/>
  <c r="I20" i="6"/>
  <c r="I30" i="6"/>
  <c r="I22" i="6"/>
  <c r="I44" i="6"/>
  <c r="I62" i="6"/>
  <c r="I32" i="6"/>
  <c r="I50" i="6"/>
  <c r="I54" i="6"/>
  <c r="I46" i="6"/>
  <c r="I34" i="6"/>
  <c r="I68" i="6"/>
  <c r="I52" i="6"/>
  <c r="H19" i="10" l="1"/>
  <c r="K16" i="4"/>
  <c r="I26" i="4"/>
  <c r="I97" i="6"/>
  <c r="K49" i="5"/>
  <c r="K48" i="5"/>
  <c r="K47" i="5"/>
  <c r="K46" i="5"/>
  <c r="K45" i="5"/>
  <c r="K44" i="5"/>
  <c r="K43" i="5"/>
  <c r="K42" i="5"/>
  <c r="K53" i="5"/>
  <c r="K52" i="5"/>
  <c r="K51" i="5"/>
  <c r="K50" i="5"/>
  <c r="K40" i="5"/>
  <c r="K71" i="6"/>
  <c r="K72" i="6"/>
  <c r="K83" i="6"/>
  <c r="K82" i="6"/>
  <c r="K81" i="6"/>
  <c r="K80" i="6"/>
  <c r="K79" i="6"/>
  <c r="K52" i="6"/>
  <c r="K54" i="6"/>
  <c r="K50" i="6"/>
  <c r="K36" i="6"/>
  <c r="K56" i="6"/>
  <c r="K94" i="5"/>
  <c r="H70" i="10"/>
  <c r="H69" i="10"/>
  <c r="K119" i="5"/>
  <c r="K80" i="5"/>
  <c r="K92" i="5"/>
  <c r="K109" i="5"/>
  <c r="K111" i="5"/>
  <c r="K105" i="5"/>
  <c r="K113" i="5"/>
  <c r="K115" i="5"/>
  <c r="K90" i="5"/>
  <c r="K107" i="5"/>
  <c r="K123" i="5"/>
  <c r="K125" i="5" s="1"/>
  <c r="K121" i="5"/>
  <c r="K117" i="5"/>
  <c r="K101" i="5"/>
  <c r="K100" i="5"/>
  <c r="K98" i="5"/>
  <c r="K97" i="5"/>
  <c r="K96" i="5"/>
  <c r="I127" i="5"/>
  <c r="K83" i="5"/>
  <c r="K84" i="5"/>
  <c r="K85" i="5"/>
  <c r="K86" i="5"/>
  <c r="K87" i="5"/>
  <c r="K69" i="5"/>
  <c r="K73" i="5"/>
  <c r="K72" i="5"/>
  <c r="K71" i="5"/>
  <c r="K70" i="5"/>
  <c r="K77" i="5"/>
  <c r="K76" i="5"/>
  <c r="K30" i="5"/>
  <c r="K67" i="5"/>
  <c r="K66" i="5"/>
  <c r="K65" i="5"/>
  <c r="K23" i="5"/>
  <c r="K22" i="5"/>
  <c r="K21" i="5"/>
  <c r="K14" i="5"/>
  <c r="K13" i="5"/>
  <c r="K12" i="5"/>
  <c r="F15" i="3"/>
  <c r="F19" i="3" s="1"/>
  <c r="K22" i="6"/>
  <c r="K28" i="6"/>
  <c r="K38" i="6"/>
  <c r="K74" i="6"/>
  <c r="K42" i="6"/>
  <c r="K16" i="6"/>
  <c r="K48" i="6"/>
  <c r="K44" i="6"/>
  <c r="K68" i="6"/>
  <c r="K18" i="6"/>
  <c r="K70" i="6"/>
  <c r="K32" i="6"/>
  <c r="K26" i="6"/>
  <c r="K40" i="6"/>
  <c r="K46" i="6"/>
  <c r="K21" i="4"/>
  <c r="K30" i="6"/>
  <c r="K20" i="6"/>
  <c r="K24" i="6"/>
  <c r="K60" i="6"/>
  <c r="K62" i="6"/>
  <c r="K34" i="6"/>
  <c r="K89" i="5"/>
  <c r="K34" i="5"/>
  <c r="K36" i="5"/>
  <c r="K25" i="5"/>
  <c r="K79" i="5"/>
  <c r="K27" i="5"/>
  <c r="K29" i="5"/>
  <c r="K32" i="5"/>
  <c r="K20" i="5"/>
  <c r="K16" i="5"/>
  <c r="K18" i="5"/>
  <c r="K82" i="5"/>
  <c r="K75" i="5"/>
  <c r="K63" i="6" l="1"/>
  <c r="K66" i="6"/>
  <c r="K65" i="6"/>
  <c r="K64" i="6"/>
  <c r="K25" i="4"/>
  <c r="K24" i="4"/>
  <c r="K23" i="4"/>
  <c r="K22" i="4"/>
  <c r="K19" i="4"/>
  <c r="K18" i="4"/>
  <c r="K17" i="4"/>
  <c r="K124" i="5"/>
  <c r="K103" i="5"/>
  <c r="K10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tc={E75430E9-43E9-48A0-BB09-FF7E9AD833A3}</author>
    <author>tc={BC04A9D1-4BB6-4653-94C2-28E89AA2BBCA}</author>
    <author>tc={204E76B3-DCCC-4736-9EE4-E2AF023BC7B0}</author>
    <author>tc={AEA0F959-5ACA-49EC-856A-A17F04564678}</author>
    <author>tc={15A372FE-4F21-4570-86F1-76D547B2CC46}</author>
    <author>tc={6F0ED03B-6B02-4ED2-A041-6B951068A516}</author>
    <author>tc={7F862C7A-9DCB-463D-A46E-5838B726F7BC}</author>
    <author>tc={7D78DFCD-1D22-4510-9061-48228658B0F9}</author>
  </authors>
  <commentList>
    <comment ref="C13" authorId="0" shapeId="0" xr:uid="{00000000-0006-0000-0000-000001000000}">
      <text>
        <t xml:space="preserve">[Threaded comment]
Your version of Excel allows you to read this threaded comment; however, any edits to it will get removed if the file is opened in a newer version of Excel. Learn more: https://go.microsoft.com/fwlink/?linkid=870924
Comment:
    The Business Requirement Specification document usually contains statements using business or plain English terminology. </t>
      </text>
    </comment>
    <comment ref="C15" authorId="1" shapeId="0" xr:uid="{00000000-0006-0000-0000-000002000000}">
      <text>
        <t xml:space="preserve">[Threaded comment]
Your version of Excel allows you to read this threaded comment; however, any edits to it will get removed if the file is opened in a newer version of Excel. Learn more: https://go.microsoft.com/fwlink/?linkid=870924
Comment:
    The logical design document contains a Functional Decomposition Model which has translated the BRS statements into more usable functional statements for purposes of evaluation </t>
      </text>
    </comment>
    <comment ref="B19" authorId="2" shapeId="0" xr:uid="{00000000-0006-0000-0000-000003000000}">
      <text>
        <t xml:space="preserve">[Threaded comment]
Your version of Excel allows you to read this threaded comment; however, any edits to it will get removed if the file is opened in a newer version of Excel. Learn more: https://go.microsoft.com/fwlink/?linkid=870924
Comment:
    1- In this column define and as far as possible quantify the business/functional requirements in a clear statement. 
2- The statement defines only ONE requirement that will be measured and the scoring guideline (column J) must align to this. </t>
      </text>
    </comment>
    <comment ref="I19"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1- To adjust the question weight, change the priority description (column G)
2- The tab/category weight must only be adjusted on the scoring summary tab any changes to the weighting on the scoring summary tab will automatically update here.</t>
      </text>
    </comment>
    <comment ref="M19" authorId="4" shapeId="0" xr:uid="{00000000-0006-0000-0000-000005000000}">
      <text>
        <t>[Threaded comment]
Your version of Excel allows you to read this threaded comment; however, any edits to it will get removed if the file is opened in a newer version of Excel. Learn more: https://go.microsoft.com/fwlink/?linkid=870924
Comment:
    Evaluators must provide comments for every score given. The comments also assist evaluators to recall how they arrived at their score when asked at a later stage.</t>
      </text>
    </comment>
    <comment ref="B20" authorId="5" shapeId="0" xr:uid="{00000000-0006-0000-0000-000006000000}">
      <text>
        <t xml:space="preserve">[Threaded comment]
Your version of Excel allows you to read this threaded comment; however, any edits to it will get removed if the file is opened in a newer version of Excel. Learn more: https://go.microsoft.com/fwlink/?linkid=870924
Comment:
    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
      </text>
    </comment>
    <comment ref="C20" authorId="6" shapeId="0" xr:uid="{00000000-0006-0000-0000-000007000000}">
      <text>
        <t xml:space="preserve">[Threaded comment]
Your version of Excel allows you to read this threaded comment; however, any edits to it will get removed if the file is opened in a newer version of Excel. Learn more: https://go.microsoft.com/fwlink/?linkid=870924
Comment:
    Its good practice to ask a vendor to provide evidence for their answer but this is not mandatory.
NOTE: When evidence is requested, and a vendor does not provide the required evidence in their response, a TET member may not award points for that response. </t>
      </text>
    </comment>
    <comment ref="K20" authorId="7" shapeId="0" xr:uid="{00000000-0006-0000-0000-000008000000}">
      <text>
        <t>[Threaded comment]
Your version of Excel allows you to read this threaded comment; however, any edits to it will get removed if the file is opened in a newer version of Excel. Learn more: https://go.microsoft.com/fwlink/?linkid=870924
Comment:
    1- The highest score will always be at the top.
2- The highest score must always equal the question weight.</t>
      </text>
    </comment>
  </commentList>
</comments>
</file>

<file path=xl/sharedStrings.xml><?xml version="1.0" encoding="utf-8"?>
<sst xmlns="http://schemas.openxmlformats.org/spreadsheetml/2006/main" count="1088" uniqueCount="591">
  <si>
    <r>
      <t xml:space="preserve">This Tab provides guidance to the TET on how the evaluation criteria must be structured and where information can be sourced.
</t>
    </r>
    <r>
      <rPr>
        <b/>
        <u/>
        <sz val="12"/>
        <color theme="4"/>
        <rFont val="Arial"/>
        <family val="2"/>
      </rPr>
      <t>Delete this tab before the TEC is published with the RFP.</t>
    </r>
  </si>
  <si>
    <t>Response Guidelines</t>
  </si>
  <si>
    <t>Once all criteria questions are complete revise the response guidelines tab, the information provided is for vendors to understand what is required of them. 
You may need to rename or adjust the colour coding of the various tabs.
Read through all the information removing what is not applicable and adding importnat information you want vendors to be aware of.
The template has one reference sheet (Definitions and Abbreviations) it may be necesary to provide vendors with more reference information, which can be listed here.</t>
  </si>
  <si>
    <t>Scoring Summary</t>
  </si>
  <si>
    <t>Gatekeepers are captured here - Gatekeepers are limited to legislative and compliance related criteria only.
Desktop evaluations and demonstrations are separate evaluation stages and the scores may not be added together.
Ensure each stage has a defined threshold
Adjusting the weight for each category on the scoring summary tab will automatically reflect the changes on the respective sheets.
Evaluators scores in each category will also automatically pull through to this sheet
The EL must check the formulas to ensure all are working correcetly before evaluations begin.</t>
  </si>
  <si>
    <t>Functional Tab</t>
  </si>
  <si>
    <r>
      <t xml:space="preserve">The functonal evaluation specifically seeks to evaluate a given proposal/solution against the functional requirements which must listed in the scope of work. 
The functional requirements can be sourced from the Logical Architecture Design (LAD) where this is applicable. More specifically the Functional Decomposition Model </t>
    </r>
    <r>
      <rPr>
        <sz val="11"/>
        <color rgb="FFFF0000"/>
        <rFont val="Arial"/>
        <family val="2"/>
      </rPr>
      <t>contained within the LAD</t>
    </r>
    <r>
      <rPr>
        <sz val="11"/>
        <color theme="1"/>
        <rFont val="Arial"/>
        <family val="2"/>
      </rPr>
      <t>, lists all the Functional Requirements carefully aligned with industry best practice to ensure complete coverage of the business need. See below the example for the first evluation criteria.</t>
    </r>
  </si>
  <si>
    <t>EXAMPLE for #1</t>
  </si>
  <si>
    <t>Business Requirment Specification Statement (from the BRS)</t>
  </si>
  <si>
    <t>"The displayed image needs to be flicker free"</t>
  </si>
  <si>
    <t>These statements are developed by a business analyst while engaing with the business in their own language.</t>
  </si>
  <si>
    <t>Functional Business Requirement (from the Logical Design/Functional Decomposition Model)</t>
  </si>
  <si>
    <t>The screen refresh rate should be 60 fps or higher</t>
  </si>
  <si>
    <t>These statements are developed by an architect, which is based on the BRS &amp; designed to be purely functional with a view to use for evaluation, mapping &amp; other analyses.</t>
  </si>
  <si>
    <t>Item #</t>
  </si>
  <si>
    <t>Technical Requirements</t>
  </si>
  <si>
    <t>Vendor Responses</t>
  </si>
  <si>
    <t>Evaluator Scores</t>
  </si>
  <si>
    <t xml:space="preserve">Business requirements.
</t>
  </si>
  <si>
    <r>
      <t xml:space="preserve">Mandatory Returnables - </t>
    </r>
    <r>
      <rPr>
        <sz val="8"/>
        <color theme="1"/>
        <rFont val="Arial"/>
        <family val="2"/>
      </rPr>
      <t>Evidence below to be provided in the technical file and numbered to align with each criteria question.</t>
    </r>
    <r>
      <rPr>
        <b/>
        <sz val="8"/>
        <color theme="1"/>
        <rFont val="Arial"/>
        <family val="2"/>
      </rPr>
      <t xml:space="preserve"> </t>
    </r>
  </si>
  <si>
    <r>
      <t xml:space="preserve">Vendor Response: </t>
    </r>
    <r>
      <rPr>
        <sz val="8"/>
        <color theme="1"/>
        <rFont val="Arial"/>
        <family val="2"/>
      </rPr>
      <t>Select from drop down list</t>
    </r>
  </si>
  <si>
    <r>
      <t xml:space="preserve">Vendor Evidence: </t>
    </r>
    <r>
      <rPr>
        <sz val="8"/>
        <color theme="1"/>
        <rFont val="Arial"/>
        <family val="2"/>
      </rPr>
      <t>Location of Supporting Document/Info (state the file number, section &amp; page number)</t>
    </r>
  </si>
  <si>
    <r>
      <t xml:space="preserve">Vendor Comments: </t>
    </r>
    <r>
      <rPr>
        <sz val="8"/>
        <color theme="1"/>
        <rFont val="Arial"/>
        <family val="2"/>
      </rPr>
      <t>Vendor to indicate any comments for information/clarification. (Not for scoring purposes)</t>
    </r>
  </si>
  <si>
    <t>Priority Description</t>
  </si>
  <si>
    <t>Priority</t>
  </si>
  <si>
    <t>Weight / Max score</t>
  </si>
  <si>
    <t>Scoring guideline</t>
  </si>
  <si>
    <t>Selection Options</t>
  </si>
  <si>
    <t>Evaluators Response</t>
  </si>
  <si>
    <t>Evaluator comments</t>
  </si>
  <si>
    <r>
      <t xml:space="preserve">Eskom requires an application with a screen refresh rate of 60 fps or higher.
</t>
    </r>
    <r>
      <rPr>
        <i/>
        <sz val="8"/>
        <rFont val="Arial"/>
        <family val="2"/>
      </rPr>
      <t>(This is the actual evaluation criteria against which the response is being judged - in this exmaple it specifically quantifies how to determine if the screen will be flicker free &amp; smooth i.e. the lower the refresh rate of the screen the worse screen flicker will be evident to the end-user)</t>
    </r>
  </si>
  <si>
    <r>
      <t xml:space="preserve">In your technical response indicate the screen refresh rate and provide a techincal specificaiton as evidence of the refresh rate. </t>
    </r>
    <r>
      <rPr>
        <i/>
        <sz val="8"/>
        <color rgb="FFFF0000"/>
        <rFont val="Arial"/>
        <family val="2"/>
      </rPr>
      <t>Note this may also be requested to be physically demonstrated later in the RFP process.</t>
    </r>
  </si>
  <si>
    <r>
      <t>&lt;</t>
    </r>
    <r>
      <rPr>
        <b/>
        <i/>
        <sz val="8"/>
        <color rgb="FFFF0000"/>
        <rFont val="Arial"/>
        <family val="2"/>
      </rPr>
      <t>Example for how to complete this whole column:</t>
    </r>
    <r>
      <rPr>
        <i/>
        <sz val="8"/>
        <color rgb="FFFF0000"/>
        <rFont val="Arial"/>
        <family val="2"/>
      </rPr>
      <t xml:space="preserve"> Technical File, section 5 (company background section), page 11&gt;</t>
    </r>
  </si>
  <si>
    <t>Important</t>
  </si>
  <si>
    <t>Refresh rate &gt;=60</t>
  </si>
  <si>
    <t>Refresh rate &lt;60 fps</t>
  </si>
  <si>
    <t>Refresh rate &lt;30</t>
  </si>
  <si>
    <t>Show stopper</t>
  </si>
  <si>
    <t>8 or more</t>
  </si>
  <si>
    <t>6-7 c</t>
  </si>
  <si>
    <t>4-5 c</t>
  </si>
  <si>
    <t>2-3 c</t>
  </si>
  <si>
    <t>1 or less</t>
  </si>
  <si>
    <t>Total</t>
  </si>
  <si>
    <t>Final Score</t>
  </si>
  <si>
    <t>Demonstration tab</t>
  </si>
  <si>
    <t xml:space="preserve">The demonstration tab has importnat notes to vendors in rows 10 to 13, read these and edit as required by your criteria and evaluation plan. After editing, there must not be any blue text remaining.
If a requirement was evaluated during the desktop evaluation, it may be evaluated again at the demo if there is a need to see/verify the information. 
The demonstration duration agreed to must be strictly adhered to for all vendors for fairness. </t>
  </si>
  <si>
    <t>Tenderer to take note of the following key instructions:</t>
  </si>
  <si>
    <t>Technical Evaluation Guidelines</t>
  </si>
  <si>
    <t>*</t>
  </si>
  <si>
    <r>
      <t xml:space="preserve">Complete </t>
    </r>
    <r>
      <rPr>
        <b/>
        <u/>
        <sz val="11"/>
        <color rgb="FFC00000"/>
        <rFont val="Arial"/>
        <family val="2"/>
      </rPr>
      <t>ALL</t>
    </r>
    <r>
      <rPr>
        <sz val="11"/>
        <color rgb="FF000000"/>
        <rFont val="Arial"/>
        <family val="2"/>
      </rPr>
      <t xml:space="preserve"> </t>
    </r>
    <r>
      <rPr>
        <sz val="11"/>
        <color indexed="8"/>
        <rFont val="Arial"/>
        <family val="2"/>
      </rPr>
      <t>the worksheets listed below.</t>
    </r>
  </si>
  <si>
    <t>Scoring Summary (Gatekeeper questions)</t>
  </si>
  <si>
    <t>Key Requirements</t>
  </si>
  <si>
    <t>Functional</t>
  </si>
  <si>
    <t>Non-Functional</t>
  </si>
  <si>
    <t>Integration</t>
  </si>
  <si>
    <t>Cloud</t>
  </si>
  <si>
    <t>Security</t>
  </si>
  <si>
    <t>Demonstration</t>
  </si>
  <si>
    <t xml:space="preserve"> </t>
  </si>
  <si>
    <t>Reference Information</t>
  </si>
  <si>
    <t xml:space="preserve">Definitions and Abbreviations
</t>
  </si>
  <si>
    <t>Provides information on the definitions and abbreviations used in the Evaluation workbook.</t>
  </si>
  <si>
    <t>Data Ranges</t>
  </si>
  <si>
    <t>Gatekeeper drop down</t>
  </si>
  <si>
    <t>Pass</t>
  </si>
  <si>
    <t>Fail</t>
  </si>
  <si>
    <t>Summary highlight based on GK response</t>
  </si>
  <si>
    <t>Priority Rating</t>
  </si>
  <si>
    <t>No interest</t>
  </si>
  <si>
    <t>Nice to have</t>
  </si>
  <si>
    <t>Useful</t>
  </si>
  <si>
    <t>Very important</t>
  </si>
  <si>
    <t>Critical</t>
  </si>
  <si>
    <t>Weight calculation formula</t>
  </si>
  <si>
    <t>Divide by</t>
  </si>
  <si>
    <t>category weight</t>
  </si>
  <si>
    <t>Tender Number:</t>
  </si>
  <si>
    <t>&lt;insert before tender publication&gt;</t>
  </si>
  <si>
    <t>Eskom Group IT:  Technical Evaluation Criteria
Scoring Summary</t>
  </si>
  <si>
    <t>Transaction Description:</t>
  </si>
  <si>
    <t>Evaluated Tenderer's Registered Name:</t>
  </si>
  <si>
    <t>&lt;Evaluator to complete&gt;</t>
  </si>
  <si>
    <t>Evaluator Name and Surname:</t>
  </si>
  <si>
    <t>Date of Evaluation</t>
  </si>
  <si>
    <t>Evaluator Signature</t>
  </si>
  <si>
    <t>Desktop Evaluation Scoring summary</t>
  </si>
  <si>
    <t>Evaluation Categories</t>
  </si>
  <si>
    <t>Weight</t>
  </si>
  <si>
    <t>Threshold</t>
  </si>
  <si>
    <t>Score</t>
  </si>
  <si>
    <t xml:space="preserve">Total </t>
  </si>
  <si>
    <t>Demonstration Scoring summary</t>
  </si>
  <si>
    <t>Eskom Group IT:  Technical Evaluation Criteria
Category: Key Requirements</t>
  </si>
  <si>
    <t>Tenderer Registered Name:</t>
  </si>
  <si>
    <t xml:space="preserve">Business requirements </t>
  </si>
  <si>
    <t>Implementation capability on proposed FBM solution for both options
The tenderer need to provide a short description of each implementation using the proposed FBM solution
Implementation details to be provided  to
Customer/Site reference:
Project Methodology used Duration of the implementation
Number of device/end users of each implementation
Deployment Option ( On Premise/SaaS)</t>
  </si>
  <si>
    <t>4 or more Implementations</t>
  </si>
  <si>
    <t>3 Implementations</t>
  </si>
  <si>
    <t>2 Implementations</t>
  </si>
  <si>
    <t>1 Implementation</t>
  </si>
  <si>
    <t>Previous and Current feedback from customers/companies that the tenderer has provided a service for.</t>
  </si>
  <si>
    <t>Written testimonials and references from companies that the tenderer has done business with, preferably FBM related.</t>
  </si>
  <si>
    <t>4 or more written testimonials or references provided</t>
  </si>
  <si>
    <t>3 written testimonials or references provided</t>
  </si>
  <si>
    <t>2  written testimonials or references provided</t>
  </si>
  <si>
    <t>1 written testimonials or 
references provided</t>
  </si>
  <si>
    <t>None</t>
  </si>
  <si>
    <t xml:space="preserve">Eskom Group IT:  Technical Evaluation Criteria
</t>
  </si>
  <si>
    <t>Category:</t>
  </si>
  <si>
    <r>
      <rPr>
        <u/>
        <sz val="8"/>
        <color rgb="FF000000"/>
        <rFont val="Arial"/>
        <family val="2"/>
      </rPr>
      <t xml:space="preserve">Source system data import:
</t>
    </r>
    <r>
      <rPr>
        <sz val="8"/>
        <color rgb="FF000000"/>
        <rFont val="Arial"/>
        <family val="2"/>
      </rPr>
      <t xml:space="preserve">Need capability to Import and Consolidate all relevant source systems data in one data warehouse e.g.BI FBM universe.
Automate the data from the following source systems into one BI universe:
MV90.EU files converted into consumption files
CC&amp;B sales
Unallocated CC&amp;B sales
Network data from Small World or Maximo
CNL 
Automate the data from the following source systems into one BI universe:
CC&amp;B sales [FBM_EBM table = allocated PP sales + FBM_FBM table = allocated conventional sales]
Unallocated CC&amp;B sales [FBM_EBP table = unallocated PP sales]
Network data from Small World or Maximo [FBM_NET]
CNL [FBM_CNL Table = CNL table]
MV90.EU file [Not yet fully automated to BI]
The data is already in BI production platform except for MV90 data which is yet to be moved – need to be moving to production platform in BI.
</t>
    </r>
  </si>
  <si>
    <t>The tenderer need to provide documented proof  via screen shots that they can automate the import of data from the following  database source systems into one BI universe:
1. Oracle
2.SQL</t>
  </si>
  <si>
    <t>Automated data import from Oracle and SQL</t>
  </si>
  <si>
    <t>Automated data import from only SQL</t>
  </si>
  <si>
    <t>Automated data import from only Oracle</t>
  </si>
  <si>
    <t>Cannot automated data import from Oracle and SQL database</t>
  </si>
  <si>
    <r>
      <rPr>
        <u/>
        <sz val="8"/>
        <color rgb="FF000000"/>
        <rFont val="Arial"/>
        <family val="2"/>
      </rPr>
      <t xml:space="preserve">Data mining:
</t>
    </r>
    <r>
      <rPr>
        <sz val="8"/>
        <color rgb="FF000000"/>
        <rFont val="Arial"/>
        <family val="2"/>
      </rPr>
      <t>Advance source data analytics
BR2-Identify specific business rules with standard filter options between different source systems data base tables in order to identify anomalies. Visibility of anomalies and Interaction of the user follow up corrective action of the anomalies.</t>
    </r>
  </si>
  <si>
    <t>The tenderer need to provide documented proof via screen shots that they can identify specific business rules with standard filter options between different source systems data base tables in order to identify anomalies.</t>
  </si>
  <si>
    <t>Can produce proof that they can identify specific business rules with standard filter options between different source systems data base tables</t>
  </si>
  <si>
    <t>Cannot produce proof that they can identify specific business rules with standard filter options between different source systems data base tables</t>
  </si>
  <si>
    <r>
      <rPr>
        <u/>
        <sz val="8"/>
        <color rgb="FF000000"/>
        <rFont val="Arial"/>
        <family val="2"/>
      </rPr>
      <t xml:space="preserve">Upload source system data for calculation analysis:
</t>
    </r>
    <r>
      <rPr>
        <sz val="8"/>
        <color rgb="FF000000"/>
        <rFont val="Arial"/>
        <family val="2"/>
      </rPr>
      <t xml:space="preserve">Upload data from BI FBM universe into a user friendly application where users can ensure feeder configuration is correct and sales are allocated.
</t>
    </r>
    <r>
      <rPr>
        <u/>
        <sz val="8"/>
        <color rgb="FF000000"/>
        <rFont val="Arial"/>
        <family val="2"/>
      </rPr>
      <t xml:space="preserve">
</t>
    </r>
    <r>
      <rPr>
        <sz val="8"/>
        <color rgb="FF000000"/>
        <rFont val="Arial"/>
        <family val="2"/>
      </rPr>
      <t>The tools in the application is used to configure a network by mapping Stats meters to different feeder configurations as well as manually allocated unallocated PPU sales to identified feeders.</t>
    </r>
  </si>
  <si>
    <t xml:space="preserve">The tenderer need to provide documented proof that they have a front end application where users can ensure feeder configuration is correct and sales are allocated.
</t>
  </si>
  <si>
    <t>Have a front end application where users can ensure feeder configuration is correct and sales are allocated.</t>
  </si>
  <si>
    <t>Do not have a front end application where users can ensure feeder configuration is correct and sales are allocated</t>
  </si>
  <si>
    <r>
      <t xml:space="preserve">Upload source system data for calculation analysis:
</t>
    </r>
    <r>
      <rPr>
        <sz val="8"/>
        <color rgb="FF000000"/>
        <rFont val="Arial"/>
        <family val="2"/>
      </rPr>
      <t>Manage statuses
BR4-The user friendly application should allow for, displaying all current and historical meter and/ or feeder statuses allowing user to filter on various status selections and modify current month statuses as per business rules and rename meters where necessarily</t>
    </r>
  </si>
  <si>
    <t xml:space="preserve">The tenderer need to provide documented proof that they can display the following in the application: 
1. All current and historical meter and/ or feeder statuses
2. Allow user to filter on various status selections
3. Modify current month statuses as per business rules
4. Rename meters where necessarily
</t>
  </si>
  <si>
    <t>Can display 4 functions</t>
  </si>
  <si>
    <t>Can display 3 functions</t>
  </si>
  <si>
    <t>Can display2 functions</t>
  </si>
  <si>
    <t>Can display1 function</t>
  </si>
  <si>
    <t>Cannot display any functions</t>
  </si>
  <si>
    <r>
      <rPr>
        <u/>
        <sz val="8"/>
        <color rgb="FF000000"/>
        <rFont val="Arial"/>
        <family val="2"/>
      </rPr>
      <t xml:space="preserve">Upload source system data for calculation analysis:
</t>
    </r>
    <r>
      <rPr>
        <sz val="8"/>
        <color rgb="FF000000"/>
        <rFont val="Arial"/>
        <family val="2"/>
      </rPr>
      <t xml:space="preserve">Configure the network
BR5-Need tools in the application to manually configure a network by mapping Stats meters, </t>
    </r>
    <r>
      <rPr>
        <b/>
        <sz val="8"/>
        <color rgb="FF000000"/>
        <rFont val="Arial"/>
        <family val="2"/>
      </rPr>
      <t>in either a one to one relationship or in a clutered relationship</t>
    </r>
    <r>
      <rPr>
        <sz val="8"/>
        <color rgb="FF000000"/>
        <rFont val="Arial"/>
        <family val="2"/>
      </rPr>
      <t xml:space="preserve"> to different feeder and substation configurations. CNL will assist in linking the meters with their sales consumption to a specific feeder comparing sales against consumption measured by STATs meter resulting in energy losses</t>
    </r>
  </si>
  <si>
    <t xml:space="preserve">The tenderer need to provide documented proof that they can display the manually configuration of a network by mapping Stats meters to different feeder and substation configurations.
</t>
  </si>
  <si>
    <t>Can display the manually configuration of a network by mapping Stats meters to different feeder and substation configurations.</t>
  </si>
  <si>
    <t>Cannot display the manually configuration of a network by mapping Stats meters to different feeder and substation configurations.</t>
  </si>
  <si>
    <r>
      <rPr>
        <u/>
        <sz val="8"/>
        <color rgb="FF000000"/>
        <rFont val="Arial"/>
        <family val="2"/>
      </rPr>
      <t xml:space="preserve">Upload source system data for calculation analysis:
</t>
    </r>
    <r>
      <rPr>
        <sz val="8"/>
        <color rgb="FF000000"/>
        <rFont val="Arial"/>
        <family val="2"/>
      </rPr>
      <t>Map CDU unallocated sales
BR6-Need tools in the application to manually allocate percentages of unallocated sales to different feeders by identifying networks with high PP customer bases</t>
    </r>
  </si>
  <si>
    <t>The tenderer need to provide documented proof that the application has tools to manually allocate percentages of unallocated sales to different feeders by identifying networks with high PP customer bases.</t>
  </si>
  <si>
    <t>The application has tools to manually allocate percentages of unallocated sales to different feeders .</t>
  </si>
  <si>
    <t xml:space="preserve">The application hdoes not have tools to manually allocate percentages of unallocated sales to different feeders </t>
  </si>
  <si>
    <r>
      <rPr>
        <u/>
        <sz val="8"/>
        <color rgb="FF000000"/>
        <rFont val="Arial"/>
        <family val="2"/>
      </rPr>
      <t xml:space="preserve">Upload source system data for calculation analysis:
</t>
    </r>
    <r>
      <rPr>
        <sz val="8"/>
        <color rgb="FF000000"/>
        <rFont val="Arial"/>
        <family val="2"/>
      </rPr>
      <t>kWh Adjustments
BR7-Need to be able to adjust the energy delivered KWh and/ or the total customer consumption KWh upwards or downwards.</t>
    </r>
  </si>
  <si>
    <t xml:space="preserve">The tenderer need to provide documented proof that they can provide the following: 
1. Adjust the energy delivered KWh
2. and/ or the total customer consumption KWh upwards or downwards
</t>
  </si>
  <si>
    <t>Can provide all functions</t>
  </si>
  <si>
    <t>Can provide 1 function</t>
  </si>
  <si>
    <t>Cannot deliverany functionality</t>
  </si>
  <si>
    <r>
      <rPr>
        <u/>
        <sz val="8"/>
        <color rgb="FF000000"/>
        <rFont val="Arial"/>
        <family val="2"/>
      </rPr>
      <t xml:space="preserve">Upload source system data for calculation analysis:
</t>
    </r>
    <r>
      <rPr>
        <sz val="8"/>
        <color rgb="FF000000"/>
        <rFont val="Arial"/>
        <family val="2"/>
      </rPr>
      <t>Adjust technical losses %
BR8-The default technical losses are currently 10% and applied across all feeders balanced unless a calculated technical loss % is available it will be applied to the specified feeder. The new technical loss will become the feeder new default going forward. Changes should be able as and when required.</t>
    </r>
  </si>
  <si>
    <t xml:space="preserve">The tenderer need to provide documented proof that they can 
adjust technical losses %
</t>
  </si>
  <si>
    <t>Can Adjust technical losses</t>
  </si>
  <si>
    <t>Cannot adjust technical losses</t>
  </si>
  <si>
    <r>
      <rPr>
        <u/>
        <sz val="8"/>
        <color rgb="FF000000"/>
        <rFont val="Arial"/>
        <family val="2"/>
      </rPr>
      <t xml:space="preserve">Upload source system data for calculation analysis:
</t>
    </r>
    <r>
      <rPr>
        <sz val="8"/>
        <color rgb="FF000000"/>
        <rFont val="Arial"/>
        <family val="2"/>
      </rPr>
      <t>Calculate balancing results
BR9-Summate all sales per feeder and compare with consumption measured on the mapped feeder. This will give first version of losses and still need possible enhancement adjustments.</t>
    </r>
  </si>
  <si>
    <t xml:space="preserve">The tenderer need to provide documented proof that they can summate all sales per feeder and compare with consumption measured on the mapped feeder.
</t>
  </si>
  <si>
    <t>Can summate all sales per feeder and compare with consumption measured on the mapped feeder.</t>
  </si>
  <si>
    <t>Cannot summate all sales per feeder and compare with consumption measured on the mapped feeder.</t>
  </si>
  <si>
    <r>
      <rPr>
        <u/>
        <sz val="8"/>
        <color rgb="FF000000"/>
        <rFont val="Arial"/>
        <family val="2"/>
      </rPr>
      <t xml:space="preserve">Upload source system data for calculation analysis:
</t>
    </r>
    <r>
      <rPr>
        <sz val="8"/>
        <color rgb="FF000000"/>
        <rFont val="Arial"/>
        <family val="2"/>
      </rPr>
      <t>Display losses per OU hierarchy
BR10-View the calculated results with drill down functions per OU hierarchy down to feeder and stats meter level.</t>
    </r>
  </si>
  <si>
    <t xml:space="preserve">The tenderer need to provide documented proof that they can view the calculated results with drill down functions per OU hierarchy down to feeder and stats meter level.
</t>
  </si>
  <si>
    <t>Can view the calculated results with drill down functions per OU hierarchy down to feeder and stats meter level.</t>
  </si>
  <si>
    <t>Cannot view the calculated results with drill down functions per OU hierarchy down to feeder and stats meter level.</t>
  </si>
  <si>
    <r>
      <rPr>
        <u/>
        <sz val="8"/>
        <color rgb="FF000000"/>
        <rFont val="Arial"/>
        <family val="2"/>
      </rPr>
      <t xml:space="preserve">Reporting requirements:
</t>
    </r>
    <r>
      <rPr>
        <sz val="8"/>
        <color rgb="FF000000"/>
        <rFont val="Arial"/>
        <family val="2"/>
      </rPr>
      <t>Specified reports extract requirements with user access to cource data files</t>
    </r>
  </si>
  <si>
    <r>
      <rPr>
        <sz val="8"/>
        <color rgb="FF000000"/>
        <rFont val="Arial"/>
        <family val="2"/>
      </rPr>
      <t xml:space="preserve">The tenderer need to provide documented proof that they can provide the following reports
</t>
    </r>
    <r>
      <rPr>
        <u/>
        <sz val="8"/>
        <color rgb="FF000000"/>
        <rFont val="Arial"/>
        <family val="2"/>
      </rPr>
      <t xml:space="preserve">Group 1: Results &amp; Analysis
</t>
    </r>
    <r>
      <rPr>
        <sz val="8"/>
        <color rgb="FF000000"/>
        <rFont val="Arial"/>
        <family val="2"/>
      </rPr>
      <t xml:space="preserve">1. Stats meter analysis per meter (Meter/fdrs)
2. Feeder Consumption Analysis (FDR/Trfm/Cust)
3. Feeder Consuption Analysis (Fdr/Cust) 
4. Worst performing feeders
5. Feeders with no consumption
</t>
    </r>
  </si>
  <si>
    <t>Can Provide reports</t>
  </si>
  <si>
    <t>Cannot Provide reports</t>
  </si>
  <si>
    <r>
      <rPr>
        <sz val="8"/>
        <color rgb="FF000000"/>
        <rFont val="Arial"/>
        <family val="2"/>
      </rPr>
      <t xml:space="preserve">The tenderer need to provide documented proof that they can provide the following reports
</t>
    </r>
    <r>
      <rPr>
        <u/>
        <sz val="8"/>
        <color rgb="FF000000"/>
        <rFont val="Arial"/>
        <family val="2"/>
      </rPr>
      <t xml:space="preserve">Group 2: Meters and Mapping
</t>
    </r>
    <r>
      <rPr>
        <sz val="8"/>
        <color rgb="FF000000"/>
        <rFont val="Arial"/>
        <family val="2"/>
      </rPr>
      <t xml:space="preserve">1. New Stats Meter Imported
2. Stats meters previously imported now missing
3. New network locations imported 
4. Network locations previously imported now missing
5. Network locations previously mapped no longer mapped
6. Stats meters previously mapped no longer mapped
7. Feeders not mapped
8. Feeder mapping Scenarios
9. Feeders and Meters not mapped
</t>
    </r>
    <r>
      <rPr>
        <u/>
        <sz val="8"/>
        <color rgb="FF000000"/>
        <rFont val="Arial"/>
        <family val="2"/>
      </rPr>
      <t xml:space="preserve">Group 3: Verifications
</t>
    </r>
    <r>
      <rPr>
        <sz val="8"/>
        <color rgb="FF000000"/>
        <rFont val="Arial"/>
        <family val="2"/>
      </rPr>
      <t>10. Compare the current stats meters import with the previous stats meter imported
11. LPU status- current vs previous
12. Premises with kWh with no Account ID 
13. Indicators(business) – Current vs Previous
14. Indicators(Meters/Fdrs) – Current vs Previous</t>
    </r>
  </si>
  <si>
    <t>Can provide all 14 reports</t>
  </si>
  <si>
    <t>Can provide 13 reports</t>
  </si>
  <si>
    <t>Can provide 12 reports</t>
  </si>
  <si>
    <t>Can provide 11 reports</t>
  </si>
  <si>
    <t>Can provide 10 reports</t>
  </si>
  <si>
    <t>Can provide 9 reports</t>
  </si>
  <si>
    <t>Can provide 8 reports</t>
  </si>
  <si>
    <t>Can provide 7 reports</t>
  </si>
  <si>
    <t>Can provide 6 reports</t>
  </si>
  <si>
    <t>Can provide 5 reports</t>
  </si>
  <si>
    <t>Can provide 4 reports</t>
  </si>
  <si>
    <t>Can provide 3 reports</t>
  </si>
  <si>
    <t>Can provide 2 reports</t>
  </si>
  <si>
    <t>Can provide 1 reports</t>
  </si>
  <si>
    <t>Can provide 0 reports</t>
  </si>
  <si>
    <r>
      <rPr>
        <sz val="8"/>
        <color rgb="FF000000"/>
        <rFont val="Arial"/>
        <family val="2"/>
      </rPr>
      <t xml:space="preserve">The tenderer need to provide documented proof that they can provide the following reports
</t>
    </r>
    <r>
      <rPr>
        <u/>
        <sz val="8"/>
        <color rgb="FF000000"/>
        <rFont val="Arial"/>
        <family val="2"/>
      </rPr>
      <t xml:space="preserve">Group 4: Transformers
</t>
    </r>
    <r>
      <rPr>
        <sz val="8"/>
        <color rgb="FF000000"/>
        <rFont val="Arial"/>
        <family val="2"/>
      </rPr>
      <t xml:space="preserve">1. Transformers in engineering not in CC&amp;B
2. Conventional transformers in CC&amp;B –not in Engineering
3. PPU transformer in CB&amp;B – not in Engineering
4. Transformers_bulk on feeder
5. Trfms_bulk/consumption on feeders
</t>
    </r>
    <r>
      <rPr>
        <u/>
        <sz val="8"/>
        <color rgb="FF000000"/>
        <rFont val="Arial"/>
        <family val="2"/>
      </rPr>
      <t xml:space="preserve">Group 5: Customers &amp; Network Linking
</t>
    </r>
    <r>
      <rPr>
        <sz val="8"/>
        <color rgb="FF000000"/>
        <rFont val="Arial"/>
        <family val="2"/>
      </rPr>
      <t xml:space="preserve">6. CNL- LPU’s in engineering not linked to CC&amp;B
7. CNL- LPU’s in CC&amp;B not in engineering
8. CNL – Trfs and Bulk with no Sales
9. CNL – Duplicate premises
</t>
    </r>
  </si>
  <si>
    <r>
      <t xml:space="preserve">Reporting requirements:
</t>
    </r>
    <r>
      <rPr>
        <sz val="8"/>
        <color rgb="FF000000"/>
        <rFont val="Arial"/>
        <family val="2"/>
      </rPr>
      <t>Heat maps (special representation of loss analysis)
BR12-Display losses with conditional formatting in colour coding. E.g.  The greater the losses the more red it display the results. Parameters for the conditional formatting should be adjustable for Non-technical loss % and KWh’s. The display is graphical per feeder and per OU hierarchical structure</t>
    </r>
  </si>
  <si>
    <t xml:space="preserve">The tenderer need to provide documented proof that they can 1. Display losses with conditional formatting in colour coding. E.g.  The greater the losses the more red it display the results. 
2. Parameters for the conditional formatting should be adjustable for Non-technical loss % and KWh’s. 
3. The display is graphical per feeder and per OU hierarchical structure
</t>
  </si>
  <si>
    <t>Can provide all 3 functions</t>
  </si>
  <si>
    <t>Can provide 2 functions</t>
  </si>
  <si>
    <t>Can provide 0 functions</t>
  </si>
  <si>
    <r>
      <rPr>
        <u/>
        <sz val="8"/>
        <color rgb="FF000000"/>
        <rFont val="Arial"/>
        <family val="2"/>
      </rPr>
      <t xml:space="preserve">Reporting requirements:
</t>
    </r>
    <r>
      <rPr>
        <sz val="8"/>
        <color rgb="FF000000"/>
        <rFont val="Arial"/>
        <family val="2"/>
      </rPr>
      <t xml:space="preserve">Charts (Graphic representation of losses)
BR13-Display losses with Balancing bar/ line charts per OU hierarchy down to Substation level. Display in both:
•	KWh delivered versus KWh Used
•	Non-technical loss Kwh/ %.
Bar show on current month and line display historical performance. Durations could be selected as required. Custom reports should be compiled via Power BI
</t>
    </r>
  </si>
  <si>
    <t xml:space="preserve">The tenderer need to provide documented proof that they can
1. Display losses with Balancing bar/ line charts per OU hierarchy down to Substation level.
2.  Display in KWh delivered versus KWh Used
3.  Display in Non-technical loss Kwh/ %.
4. Bar show on current month and line display historical performance. Durations could be selected as required
5. Custom reports should be compiled via Power BI
</t>
  </si>
  <si>
    <t>Can provide all 5 functions</t>
  </si>
  <si>
    <t>Can provide 4 functions</t>
  </si>
  <si>
    <t>Can provide 3 functions</t>
  </si>
  <si>
    <r>
      <rPr>
        <i/>
        <sz val="8"/>
        <color rgb="FF000000"/>
        <rFont val="Arial"/>
        <family val="2"/>
      </rPr>
      <t xml:space="preserve">Publish results:
</t>
    </r>
    <r>
      <rPr>
        <sz val="8"/>
        <color rgb="FF000000"/>
        <rFont val="Arial"/>
        <family val="2"/>
      </rPr>
      <t xml:space="preserve">Publish balanced energy loss results
BR14-Publish calculated results to the online database or BI warehouse
Publish the balancing results to corporate:
•	Set corporate shared folder
•	Set meter statuses
Losses Reduction Potential tool using past OU performance and other inputs from the business reporting
</t>
    </r>
  </si>
  <si>
    <t xml:space="preserve">The tenderer need to provide documented proof that they can
1. Publish calculated results to the online database or BI warehouse.
2.  Publish the balancing results to corporate:
•	Set corporate shared folder
•	Set meter statuses
3.  Display in Non-technical loss Kwh/ %.Losses Reduction Potential tool using past OU performance and other inputs from the business reporting
</t>
  </si>
  <si>
    <r>
      <rPr>
        <u/>
        <sz val="8"/>
        <color rgb="FF000000"/>
        <rFont val="Arial"/>
        <family val="2"/>
      </rPr>
      <t xml:space="preserve">Publish results:
</t>
    </r>
    <r>
      <rPr>
        <sz val="8"/>
        <color rgb="FF000000"/>
        <rFont val="Arial"/>
        <family val="2"/>
      </rPr>
      <t>BR15-Display KPI results consolidated nationally and with options to drill down per Cluster/OU/ Zone/ Sector/ CNC/ Meter</t>
    </r>
  </si>
  <si>
    <t>The tenderer need to provide documented proof that they can
1. Display KPI results consolidated nationally
2. Drill down option per Cluster/OU/ Zone/ Sector/ CNC/ Meter</t>
  </si>
  <si>
    <r>
      <rPr>
        <u/>
        <sz val="8"/>
        <color rgb="FF000000"/>
        <rFont val="Arial"/>
        <family val="2"/>
      </rPr>
      <t>Publish results</t>
    </r>
    <r>
      <rPr>
        <sz val="8"/>
        <color rgb="FF000000"/>
        <rFont val="Arial"/>
        <family val="2"/>
      </rPr>
      <t xml:space="preserve">:
Store latest data mapping
BR16-Store the monthly data and mapping for the balancing calculation:
•	Network configuration as well as mapping
•	PP sales allocation per CDU and feeder
•	Statistical metering history
•	Historical customer data
•	Customer network list
•	All historic data [time stamped][Minimum of 48 months un-archived data available]
</t>
    </r>
  </si>
  <si>
    <t xml:space="preserve">The tenderer need to provide documented proof that they can store the monthly data and mapping for the balancing calculation:
1. Network configuration as well as mapping
2. Prepaid sales allocation per CDU and feeder 
3. Statistical metering history
4. Historical customer data
5. Customer network list
6. All historic data [time stamped][Minimum of 48 months un-archived data available]Display KPI results consolidated nationally
</t>
  </si>
  <si>
    <t>Can provide all 6 functions</t>
  </si>
  <si>
    <t>Can provide 5 functions</t>
  </si>
  <si>
    <r>
      <rPr>
        <u/>
        <sz val="8"/>
        <color rgb="FF000000"/>
        <rFont val="Arial"/>
        <family val="2"/>
      </rPr>
      <t xml:space="preserve">Device management:
</t>
    </r>
    <r>
      <rPr>
        <sz val="8"/>
        <color rgb="FF000000"/>
        <rFont val="Arial"/>
        <family val="2"/>
      </rPr>
      <t>Meter reading automation
BR17- Automate stats meter readings. Log WO to maintenance management system to action identified challenge on a meter.</t>
    </r>
  </si>
  <si>
    <t>The tenderer need to provide documented proof that they can
1. Automate stats meter readings.
2. Log Works Order to maintenance management system to action identified challenge on a meter</t>
  </si>
  <si>
    <t>FBM Enhancements
1. The Stats meter readings used by FBM to be managed via online database (ORACLE)</t>
  </si>
  <si>
    <t xml:space="preserve">The tenderer need to provide documented proof that they can provide the function where the Stats meter readings used by FBM to be managed via online database (ORACLE)
</t>
  </si>
  <si>
    <t>Can provide the function where the Stats meter readings used by FBM to be managed via online database (ORACLE)</t>
  </si>
  <si>
    <t>Cannot provide the function where the Stats meter readings used by FBM to be managed via online database (ORACLE)</t>
  </si>
  <si>
    <t>FBM Enhancements
2. Upgrade local database to SQL Server/MySQL/PostGreSQL</t>
  </si>
  <si>
    <t xml:space="preserve">The tenderer need to provide documented proof that they can upgrade local database to SQL Server/MySQL/PostgreSQL
</t>
  </si>
  <si>
    <t>Can upgrade local database to SQL Server/MySQL/PostgreSQL</t>
  </si>
  <si>
    <t>Cannot upgrade local database to SQL Server/MySQL/PostgreSQL</t>
  </si>
  <si>
    <t>FBM Enhancements
3. FBM CNL Data mapping and validation module (CNL data mapping application based on predefined business rules is required to ensure reliable customer network linking that is not currently available in the existing Eskom CNL application. CNL validation to be done on continuous basis and feedback into business process accommodated. A graphical overview is required to monitor and show CNL non-conformances (Network supply points/Customer detail))</t>
  </si>
  <si>
    <t xml:space="preserve">The tenderer need to provide documented proof that they can provide the following:
1. CNL data mapping application based on predefined business rules. 
2. CNL validation to be done on continuous basis and feedback into business process accommodated. 
3. A graphical overview is required to monitor and show CNL non-conformances (Network supply points/Customer detail))
</t>
  </si>
  <si>
    <t xml:space="preserve">FBM Enhancements
4. FBM data validation module (A data validation module is needed to monitor and identify FBM data non-conformances on a continuous basis based, on predefined business rules for the purpose of automated communication between business units. Data validations must be automated and support pre-checking the actions before energy balancing.
Data exceptions must be linked to the various key role players in the business processes for corrective actions
A statistical overview is required to monitor impact and contribution on Loss calculations (e.g. NTL))
</t>
  </si>
  <si>
    <t xml:space="preserve">The tenderer need to provide documented proof that they can provide the following:
1. Can provide a data validation module. 
2. Data validation is automated and support pre checking the actions before energy balancing. 
3. Data exceptions must be linked to the various key role players in the business processes for corrective actions
4. A statistical overview is required to monitor impact and contribution on Loss calculations (e.g. NTL))
</t>
  </si>
  <si>
    <t>Can provide all 4 functions</t>
  </si>
  <si>
    <t>FBM Enhancements
5. FBM meter status flagging (Automate FBM meter status flagging based on MV90 status (implement the required predefined business rules as required by business). Implement multi level status)</t>
  </si>
  <si>
    <t>The tenderer need to provide documented proof that they can automate FBM meter status flagging based on MV90 status</t>
  </si>
  <si>
    <t>Can automate FBM meter status flagging based on MV90 status</t>
  </si>
  <si>
    <t>Cannot automate FBM meter status flagging based on MV90 status</t>
  </si>
  <si>
    <t>FBM Enhancements
6. Add Exception - Feeders with no energy delivered (All the Feeders with no Energy Delivered have to be listed/reported as part of the exceptions)</t>
  </si>
  <si>
    <t>The tenderer need to provide documented proof that they can  add exception - Feeders with no energy delivered (All the Feeders with no Energy Delivered have to be listed/reported as part of the exceptions)</t>
  </si>
  <si>
    <t xml:space="preserve">Can  add exception - Feeders with no energy delivered </t>
  </si>
  <si>
    <t xml:space="preserve">Cannot  add exception - Feeders with no energy delivered </t>
  </si>
  <si>
    <t>FBM Enhancements
7. Add Report - List all Supply Points (Trfs/Bulks) in Feeder Consumption Analysis (A detailed report is required to list all the Feeder Supply points in one view. The current Feeder Consumption Analysis report has to be extended)</t>
  </si>
  <si>
    <t>The tenderer need to provide documented proof that they can  provide a report that list all Supply Points (Trfs/Bulks) in Feeder Consumption Analysis (A detailed report is required to list all the Feeder Supply points in one view. The current Feeder Consumption Analysis report has to be extended)</t>
  </si>
  <si>
    <t>Can  provide a report that list all Supply Points (Trfs/Bulks) in Feeder Consumption Analysis</t>
  </si>
  <si>
    <t>Cannot  provide a report that list all Supply Points (Trfs/Bulks) in Feeder Consumption Analysis</t>
  </si>
  <si>
    <t>FBM Enhancements
8. Add Report - Detailed Customer/Feeder Linking(A Report is required to extract all customers linking to each feeder (irrespective of if the feeder is linked to a meter or not))</t>
  </si>
  <si>
    <t>The tenderer need to provide documented proof that they can  provide a report that shows Detailed Customer/Feeder Linking(A Report is required to extract all customers linking to each feeder (irrespective of if the feeder is linked to a meter or not))</t>
  </si>
  <si>
    <t>Can  provide a report that shows Detailed Customer/Feeder Linking</t>
  </si>
  <si>
    <t>Cannot  provide a report that shows Detailed Customer/Feeder Linking</t>
  </si>
  <si>
    <t>FBM Enhancements
9. Add Report - All CC&amp;B Customers (A Report is required to extract all customers for the specific OU (irrespective of if the customer linked to a feeder or not))</t>
  </si>
  <si>
    <t>The tenderer need to provide documented proof that they can  provide a report that shows all CC&amp;B customers (A Report is required to extract all customers for the specific OU (irrespective of if the customer linked to a feeder or not))</t>
  </si>
  <si>
    <t xml:space="preserve">Can provide a report report that shows all CC&amp;B customers </t>
  </si>
  <si>
    <t xml:space="preserve">Cannot provide a report report that shows all CC&amp;B customers </t>
  </si>
  <si>
    <t xml:space="preserve">FBM Enhancements
10. Add Business levels based on Feeders and NOT Substations (Currently the FBM system allocates the Statistical Meters in the Business Area based on the linked Substations. The system must be modified to use the Feeders instead to determine the Business Areas. </t>
  </si>
  <si>
    <t xml:space="preserve">The tenderer need to provide documented proof that they can  add Business levels based on Feeders and not Substations </t>
  </si>
  <si>
    <t xml:space="preserve">Can add business levels based on Feeders and not Substations </t>
  </si>
  <si>
    <t xml:space="preserve">Cannot add business levels based on Feeders and not Substations </t>
  </si>
  <si>
    <t xml:space="preserve">FBM Enhancements
11.Substations to be shared across OU's boundaries (All substations must be available for Meter/Feeder mapping per OU.) </t>
  </si>
  <si>
    <t xml:space="preserve">The tenderer need to provide documented proof that they can  illustrate substations to be shared across OU's boundaries (All substations must be available for Meter/Feeder mapping per OU.) </t>
  </si>
  <si>
    <t>Can illustrate substations to be shared across OU's boundaries</t>
  </si>
  <si>
    <t>Cannot illustrate substations to be shared across OU's boundaries</t>
  </si>
  <si>
    <t xml:space="preserve">FBM Enhancements
12. Dx Substation Balancing: (Although the current system facilitates energy balancing on Substation level, all balancing reporting is geared towards Feeders. Functionality is needed to visualize and report on Substation level. The functionality is required to publish energy balancing on Substation level) </t>
  </si>
  <si>
    <t>The tenderer need to provide documented proof that they can  visualize and report on Substation level. (The functionality is required to publish energy balancing on Substation level)</t>
  </si>
  <si>
    <t>Can visualize and report on Substation level</t>
  </si>
  <si>
    <t>Cannot visualize and report on Substation level</t>
  </si>
  <si>
    <t>FBM Enhancements
13. MTS Balancing (Establish/Develop a table  which defines the relationship between the incoming feeders from Tx and Dx Substations. Reconcile Energy Delivered from incoming feeders and outflowing energy from Dx Substations. MTS Balancing will also incorporate bulk feeders from Tx)</t>
  </si>
  <si>
    <t>The tenderer need to provide documented proof that they can  establish/develop a table which defines the relationship between the incoming feeders from Tx and Dx Substations. Reconcile Energy Delivered from incoming feeders and outflowing energy from Dx Substations. (MTS Balancing will also incorporate bulk feeders from Tx)</t>
  </si>
  <si>
    <t xml:space="preserve">Can establish/develop the required table. </t>
  </si>
  <si>
    <t xml:space="preserve">Cannot establish/develop the required table. </t>
  </si>
  <si>
    <t xml:space="preserve">FBM Enhancements
14.Produce 3 Reports (i.e. Bulk feeders, Reticulation feeders and Consolidated Report) (Currently energy balancing consolidated results are published to corporate which include all the Reticulation Feeders (with more than 1 customers connected) as well as the Bulk Feeders (with dedicated bulk customers e.g. Municipalities)
Separate reports are also required for the Bulk Feeders and the Feeders with more than 1 customer)
</t>
  </si>
  <si>
    <t>The tenderer need to provide documented proof that they can  produce to following reports:
1. Bulk feeders, 
2. Reticulation feeders 
3. Consolidated Report</t>
  </si>
  <si>
    <t>Can provide all 3 reports</t>
  </si>
  <si>
    <t>Can provide 1 report</t>
  </si>
  <si>
    <t>Eskom Group IT:  Technical Evaluation Criteria
Category: Non-Functional</t>
  </si>
  <si>
    <r>
      <rPr>
        <u/>
        <sz val="8"/>
        <color rgb="FF000000"/>
        <rFont val="Arial"/>
        <family val="2"/>
      </rPr>
      <t xml:space="preserve">Import source system data SPR1
</t>
    </r>
    <r>
      <rPr>
        <sz val="8"/>
        <color rgb="FF000000"/>
        <rFont val="Arial"/>
        <family val="2"/>
      </rPr>
      <t xml:space="preserve">Ability to automatically upload the source data into the BI – FBM universe.
MV90.EU file data converted in consumption files per feeder, CC&amp;B sales data, Unallocated CC&amp;B sales data, Network data from SmallWorld or Maximo
</t>
    </r>
  </si>
  <si>
    <t>The Tenderer need to provide documented proof that they can  take 1 second to save individual data record. 3 seconds to retrieve individual data record.</t>
  </si>
  <si>
    <t>Can meet the time requirements</t>
  </si>
  <si>
    <t>Cannot meet the time requirements</t>
  </si>
  <si>
    <r>
      <rPr>
        <u/>
        <sz val="8"/>
        <color rgb="FF000000"/>
        <rFont val="Arial"/>
        <family val="2"/>
      </rPr>
      <t xml:space="preserve">System Performance requirements SPR2
</t>
    </r>
    <r>
      <rPr>
        <sz val="8"/>
        <color rgb="FF000000"/>
        <rFont val="Arial"/>
        <family val="2"/>
      </rPr>
      <t>Advance analytics - Perform all sorts of data analysis computations and comparisons on huge data sets.</t>
    </r>
  </si>
  <si>
    <t>The tenderer need to provide documented proof that they can  produce results depending on complexities of data queries in less than 5 minutes.</t>
  </si>
  <si>
    <t>5 min and less</t>
  </si>
  <si>
    <t>More than 5 min</t>
  </si>
  <si>
    <r>
      <t xml:space="preserve">System Performance requirements SPR3
</t>
    </r>
    <r>
      <rPr>
        <sz val="8"/>
        <rFont val="Arial"/>
        <family val="2"/>
      </rPr>
      <t>Upload data into FBM application - Upload data from BI FBM production universe into an user friendly application where users can ensure feeder configuration is correct and sales are allocated</t>
    </r>
  </si>
  <si>
    <t xml:space="preserve">The tenderer need to provide documented proof that they can  take 1 second to save individual data record. 3 seconds to retrieve </t>
  </si>
  <si>
    <r>
      <t xml:space="preserve">System Performance requirements SPR4
</t>
    </r>
    <r>
      <rPr>
        <sz val="8"/>
        <rFont val="Arial"/>
        <family val="2"/>
      </rPr>
      <t>Manage statuses - Display all current and historical meter and/ or feeder statuses allowing user to filter on various status selections and modify current month statuses as per business rules and rename meters where necessarily</t>
    </r>
  </si>
  <si>
    <t>The tenderer need to provide documented proof that they can  take 1 second to save individual data record. 3 seconds to retrieve individual data record.</t>
  </si>
  <si>
    <r>
      <t xml:space="preserve">System Performance requirements SPR5
</t>
    </r>
    <r>
      <rPr>
        <sz val="8"/>
        <rFont val="Arial"/>
        <family val="2"/>
      </rPr>
      <t>Configure the network- Depending on the existing/ latest network configurations the user should have ability/ functionality to manually configure the networks not yet linked up properly</t>
    </r>
  </si>
  <si>
    <r>
      <t xml:space="preserve">System Performance requirements SPR6
</t>
    </r>
    <r>
      <rPr>
        <sz val="8"/>
        <rFont val="Arial"/>
        <family val="2"/>
      </rPr>
      <t>Map CDU unallocated sales - Depending on the existing/ latest allocation  the user should have functionality to manually allocate percentages of unallocated sales to different feeders by identifying networks with high PP customer bases</t>
    </r>
  </si>
  <si>
    <r>
      <t xml:space="preserve">System Performance requirements SPR7
</t>
    </r>
    <r>
      <rPr>
        <sz val="8"/>
        <rFont val="Arial"/>
        <family val="2"/>
      </rPr>
      <t xml:space="preserve">Analyse data and results - Perform KWH adjustments. </t>
    </r>
  </si>
  <si>
    <r>
      <t xml:space="preserve">System Performance requirements SPR8
</t>
    </r>
    <r>
      <rPr>
        <sz val="8"/>
        <rFont val="Arial"/>
        <family val="2"/>
      </rPr>
      <t>Analyse data and results - Have capability to pre-set and adjust technical losses %</t>
    </r>
  </si>
  <si>
    <r>
      <t xml:space="preserve">System Performance requirements SPR9
</t>
    </r>
    <r>
      <rPr>
        <sz val="8"/>
        <rFont val="Arial"/>
        <family val="2"/>
      </rPr>
      <t>Calculate balancing results and losses - The system should automatically update the balancing results as and when the user makes a change to BRS4 to BRS8.</t>
    </r>
  </si>
  <si>
    <t>The tenderer need to provide documented proof that the system should automatically update the balancing results as and when the user makes a change to SPR4 to SPR8.</t>
  </si>
  <si>
    <t>Can meet the requirements</t>
  </si>
  <si>
    <t>Cannot meet the requirements</t>
  </si>
  <si>
    <r>
      <t xml:space="preserve">System Performance requirements SPR10
</t>
    </r>
    <r>
      <rPr>
        <sz val="8"/>
        <rFont val="Arial"/>
        <family val="2"/>
      </rPr>
      <t xml:space="preserve">Analyse data and results - Display and view losses per OU hierarchy. </t>
    </r>
  </si>
  <si>
    <r>
      <rPr>
        <u/>
        <sz val="8"/>
        <color rgb="FF000000"/>
        <rFont val="Arial"/>
        <family val="2"/>
      </rPr>
      <t xml:space="preserve">System Performance requirements SPR11
</t>
    </r>
    <r>
      <rPr>
        <sz val="8"/>
        <color rgb="FF000000"/>
        <rFont val="Arial"/>
        <family val="2"/>
      </rPr>
      <t xml:space="preserve">Reporting requirements - Specified reports extract requirement.
1. Stats meter analysis per meter (Meter/fdrs)
2. Feeder mapping Scenarios
3. Feeder Consumption Analysis (FDR/Trfm/Cust)
4. Feeer Consuption Analysis (Fdr/Cust)
5. New Stats Meter Imported
6. Stats meters previously imported now missing
7.New network locations imported
8. Network locations previously imported now missing
9.Network locations previously mapped no longer mapped
10. stats meters previously mapped no longer mapped
11. Compare the current stats meters import with the previous stats meter imported
12. transformers in engineering not in CC&amp;B
13. premises with kWh with no Account ID
14. Conventional transformers in CC&amp;B –not in Engineering
15. PPU transformer in BB&amp;B – not in Engineering
16. Feeders not mapped
17. Feeders with no consumption
18. Worst performing feeders
19. Transformers_bulk on feeder
20. Trfms_bulk/consumption on feeders
21. Indicators(business) – Current vs Previous
22. Indicators(Meters/Fdrs) – Current vs Previous
23. LPU status- current vs previous
24. CNL- LPU’s in engineering not linked to CC&amp;B
25. CNL- LPU’s in CC&amp;B not in engineering
26. CNL – Trfs and Bulk with no Sales
27. CNL – Duplicate premises
28. Fdrs and Meters not mapped
</t>
    </r>
  </si>
  <si>
    <r>
      <t xml:space="preserve">System Performance requirements SPR12
</t>
    </r>
    <r>
      <rPr>
        <sz val="8"/>
        <rFont val="Arial"/>
        <family val="2"/>
      </rPr>
      <t xml:space="preserve">Reporting requirements - Heat maps (special representation of loss analysis)
Display losses with conditional formatting in color coding. E.g.  The greater the losses the more red it display the results. Parameters for the conditional formatting should be adjustable for Non-technical loss % and KWh’s. The display is graphical per feeder and per OU hierarchical structure
</t>
    </r>
  </si>
  <si>
    <r>
      <rPr>
        <u/>
        <sz val="8"/>
        <color rgb="FF000000"/>
        <rFont val="Arial"/>
        <family val="2"/>
      </rPr>
      <t xml:space="preserve">System Performance requirements SPR13
</t>
    </r>
    <r>
      <rPr>
        <sz val="8"/>
        <color rgb="FF000000"/>
        <rFont val="Arial"/>
        <family val="2"/>
      </rPr>
      <t xml:space="preserve">Reporting requirements - Charts (Graphic representation of losses)
BR13-Display losses with Balancing bar/ line charts per OU hierarchy down to Substation level. Display in both:
• KWh delivered versus KWh Used
• Non-technical loss Kwh/ %.
Bar show on current month and line display historical performance. Durations could be selected as required.
</t>
    </r>
  </si>
  <si>
    <r>
      <rPr>
        <u/>
        <sz val="8"/>
        <rFont val="Arial"/>
        <family val="2"/>
      </rPr>
      <t>System Performance requirements SPR14</t>
    </r>
    <r>
      <rPr>
        <sz val="8"/>
        <rFont val="Arial"/>
        <family val="2"/>
      </rPr>
      <t xml:space="preserve">
Publish reports - User interphase with reports viewer in FBM application or develop standard reports in BI after results is published. When the user select publish results a new version of the results should be saved forming a proper audit trail on changes made.</t>
    </r>
  </si>
  <si>
    <r>
      <rPr>
        <u/>
        <sz val="8"/>
        <rFont val="Arial"/>
        <family val="2"/>
      </rPr>
      <t>System Performance requirements SPR15</t>
    </r>
    <r>
      <rPr>
        <sz val="8"/>
        <rFont val="Arial"/>
        <family val="2"/>
      </rPr>
      <t xml:space="preserve">
Display results nationally - Display KPI results consolidated nationally and with options to drill down per Eskom/ OU/ Zone/ Sector/ CNC/ Meter</t>
    </r>
  </si>
  <si>
    <r>
      <rPr>
        <u/>
        <sz val="8"/>
        <rFont val="Arial"/>
        <family val="2"/>
      </rPr>
      <t>System Performance requirements SPR16</t>
    </r>
    <r>
      <rPr>
        <sz val="8"/>
        <rFont val="Arial"/>
        <family val="2"/>
      </rPr>
      <t xml:space="preserve">
Store data mapping - User will save latest configurations which will be applied to new data imported to automate the balancing calculations on latest configurations and allocations. Need functions to edit future exceptions.</t>
    </r>
  </si>
  <si>
    <r>
      <rPr>
        <u/>
        <sz val="8"/>
        <rFont val="Arial"/>
        <family val="2"/>
      </rPr>
      <t>System Performance requirements SPR17</t>
    </r>
    <r>
      <rPr>
        <sz val="8"/>
        <rFont val="Arial"/>
        <family val="2"/>
      </rPr>
      <t xml:space="preserve">
Proposed enhancements required - Meter management</t>
    </r>
  </si>
  <si>
    <r>
      <rPr>
        <u/>
        <sz val="8"/>
        <color rgb="FF000000"/>
        <rFont val="Arial"/>
        <family val="2"/>
      </rPr>
      <t xml:space="preserve">
</t>
    </r>
    <r>
      <rPr>
        <sz val="8"/>
        <color rgb="FF000000"/>
        <rFont val="Arial"/>
        <family val="2"/>
      </rPr>
      <t>Performance Monitoring Requirement</t>
    </r>
  </si>
  <si>
    <t>The tenderer need to provide documented proof that they can ensure capability of FBM solution to integrate with Eskom internal monitoring tools</t>
  </si>
  <si>
    <t>Can ensure capability of FBM solution to integrate with Eskom internal monitoring tools</t>
  </si>
  <si>
    <t>Cannot ensure capability of FBM solution to integrate with Eskom internal monitoring tools</t>
  </si>
  <si>
    <t>Availability Requirement</t>
  </si>
  <si>
    <t>The tenderer need to provide documented proof that they can ensure the percentage of time the application needs to be available (99.99%)
Hours of operation is 24/7</t>
  </si>
  <si>
    <t>Can ensure application availibility and availible operating hours</t>
  </si>
  <si>
    <t>Cannot ensure application availibility and availible operating hours</t>
  </si>
  <si>
    <t>Scalability Requirement</t>
  </si>
  <si>
    <t>The tenderer need to provide documented proof that they have flexibility to allow for future growth. Indicate capability of system to scale with growth in data.</t>
  </si>
  <si>
    <t>System can scale to grow with data</t>
  </si>
  <si>
    <t>System cannot scale to grow with data</t>
  </si>
  <si>
    <t>Backups/ Archiving Requirement</t>
  </si>
  <si>
    <t>The tenderer need to provide documented proof that they can  ensure, as per Eskom standards,
FBM require source and balanced data availability for past 48 months.</t>
  </si>
  <si>
    <t>Can ensure source and balanced data availibility for past 48 hours</t>
  </si>
  <si>
    <t>Cannot ensure source and balanced data availibility for past 48 hours</t>
  </si>
  <si>
    <t>System Users Requirement</t>
  </si>
  <si>
    <t>The tenderer need to provide documented proof that the solution should be able to handle:
1. total of  24 users
2. total of 24 concurrent users</t>
  </si>
  <si>
    <t>Can handle total of 24 concurrent users</t>
  </si>
  <si>
    <t>Cannot handle total of 24 concurrent users</t>
  </si>
  <si>
    <t>Training Requirement</t>
  </si>
  <si>
    <t>The tenderer need to provide documented proof that they can provide training to be conducted on the below functions:
1. Advance analytics
2. Uploading of  source system data from BI-FBM universe to FBM application.
3. Publish reports
4. Display results provincially and nationally
5. Store data mapping
6. Meter management</t>
  </si>
  <si>
    <t>Can provide the training</t>
  </si>
  <si>
    <t>Cannot provide the training</t>
  </si>
  <si>
    <t>Project Management competency and methodology</t>
  </si>
  <si>
    <t>No of IT/Software Project Management implementation experience, specifically using agile methodology (with trained and certified Project manager/s in Agile Methodology)</t>
  </si>
  <si>
    <t xml:space="preserve">5 or more Projects </t>
  </si>
  <si>
    <t>4 Projects</t>
  </si>
  <si>
    <t>3 Projects</t>
  </si>
  <si>
    <t>2 Projects</t>
  </si>
  <si>
    <t>1 Project</t>
  </si>
  <si>
    <t>0 Project;</t>
  </si>
  <si>
    <t>Your experience with Integrating with notification engines, Authentication (LDAP/MS AD),ETLs, security token management, DLP. Include an architecture overview on how you integrated with these systems before.</t>
  </si>
  <si>
    <t>Integrate with Systems , Please specify</t>
  </si>
  <si>
    <t>Integration experience with security</t>
  </si>
  <si>
    <t>Integration experience</t>
  </si>
  <si>
    <t>Support Model</t>
  </si>
  <si>
    <t>Support and Maintenance model for 3 years after deployment. Company can demonstrate ability to provide 3rd Level Support.
1. Service/ help desk, Local support on premise integrating with Service Desk 
2. Availability(Priority6/8) 8/5, 
3. Cater for software enhancement and Knowledge Transfer to Eskom personnel.</t>
  </si>
  <si>
    <t>Provide all 3 support functionalities</t>
  </si>
  <si>
    <t>Provide 2 support functionalities</t>
  </si>
  <si>
    <t>Provide 1 support functionality</t>
  </si>
  <si>
    <t>Provide 0 support functionality</t>
  </si>
  <si>
    <t>Provide  disaster recovery capabilities such that the required data Return Point Objectives’ and Return Time Objectives’ maintained.</t>
  </si>
  <si>
    <t xml:space="preserve">Disaster Recovery is one of the key requirement since this is revenue and safety critical application. Vendor must demonstrate previous Disaster Recovery method  implemented in different company(ies). </t>
  </si>
  <si>
    <t>Has designed and implemented Disaster Recovery for FBM</t>
  </si>
  <si>
    <t>Has designed and implemented Disaster Recovery not for FBM</t>
  </si>
  <si>
    <t xml:space="preserve">Has NOT designed and implemented Disaster Recovery </t>
  </si>
  <si>
    <t>Software product certification &amp; expertise for implementation, support and custom development.</t>
  </si>
  <si>
    <t>Proposed solution/software language(.e.g. Java, Delphi,etc) certifications (Individuals part of Implementation Team). Proof to be provided.</t>
  </si>
  <si>
    <t>Certifications</t>
  </si>
  <si>
    <t>No certification</t>
  </si>
  <si>
    <t>Resource Model and Capacity/SMEs in implementing technical solutions.</t>
  </si>
  <si>
    <t>The following resources needs to be allocated to the project:
1. Project Manager (35% weighting)
2. Tech Lead, (20% weighting)
3. Implementer, (10% weighting)
4. FBM specialist, (15% weighting)
5. Developer (25% weighting)
Resource cross functional applied
Resources to be allocated to the project. Resource job titles to be specified.</t>
  </si>
  <si>
    <t>1. Project Manager (35% weighting)</t>
  </si>
  <si>
    <t>2. Tech Lead, (20% weighting)</t>
  </si>
  <si>
    <t>3. Implementer, (10% weighting)</t>
  </si>
  <si>
    <t>4. FBM specialist, (15% weighting</t>
  </si>
  <si>
    <t>5. Developer (25% weighting)</t>
  </si>
  <si>
    <t>none</t>
  </si>
  <si>
    <t>Eskom requires the solution to have the 90th percentile transaction response time for 500 concurrent users to be less or equal to 3 seconds.</t>
  </si>
  <si>
    <t>In your technical response, please provide performance testing results for 90th percentile transaction response time for 500 concurrent users.</t>
  </si>
  <si>
    <t>90th percentile transaction response time for 500 concurrent users &lt;= 3 seconds.</t>
  </si>
  <si>
    <t>90th percentile transaction response time for 500 concurrent users &gt;= 4 seconds.</t>
  </si>
  <si>
    <t>0%:     No report</t>
  </si>
  <si>
    <t>Eskom requires the solution to support average throughput for 500 concurrent users to be 142000 bytes / sec or more.</t>
  </si>
  <si>
    <t xml:space="preserve">In your technical response, please provide performance testing results/reports average throughput bytes / sec for 500 concurrent users.
</t>
  </si>
  <si>
    <t>Average throughput for 500 concurrent users &gt;= 142000 bytes / sec.</t>
  </si>
  <si>
    <t>Average throughput for 500 concurrent users &gt;= 71000 and &lt; 142000 bytes / sec.</t>
  </si>
  <si>
    <t>Average throughput for 500 concurrent users &lt; 71000 bytes / sec.</t>
  </si>
  <si>
    <t xml:space="preserve">Eskom requires the solution to have an average hit rate greater than 114 hits / sec for 500 concurrent users. </t>
  </si>
  <si>
    <t xml:space="preserve">In your technical response, please provide performance testing results/reports for average hits per second for 500 concurrent users.
</t>
  </si>
  <si>
    <t>Solution supports an average hit rate &gt; 114 hits / sec.</t>
  </si>
  <si>
    <t>Solution supports an average hit rate &lt;= 114 hits / sec.</t>
  </si>
  <si>
    <t>No performance testing results received.</t>
  </si>
  <si>
    <t xml:space="preserve">Eskom requires the solution to be able to handle 500 concurrent users. </t>
  </si>
  <si>
    <t xml:space="preserve">In your technical response, please provide performance testing results/reports showing how many concurrent users the solution can handle.
</t>
  </si>
  <si>
    <t>Solution supports &gt;= 500 concurrent users.</t>
  </si>
  <si>
    <t>Solution supports &lt; 500 concurrent users.</t>
  </si>
  <si>
    <t>Eskom Group IT:  Technical Evaluation Criteria
Category: Testing</t>
  </si>
  <si>
    <r>
      <rPr>
        <b/>
        <i/>
        <sz val="8"/>
        <rFont val="Arial"/>
        <family val="2"/>
      </rPr>
      <t>(EXAMPLE)</t>
    </r>
    <r>
      <rPr>
        <i/>
        <sz val="8"/>
        <rFont val="Arial"/>
        <family val="2"/>
      </rPr>
      <t xml:space="preserve"> Eskom requires an experienced supplier who has provided the work listed in the scope to other clients</t>
    </r>
  </si>
  <si>
    <t>In your technical response list the clients to whom you have provided XX services to and dates the service was provided. Provide a reference letter from each client listed, each reference letter must have contact details for the clients in order to verify the information provided.</t>
  </si>
  <si>
    <t>more than 7 clients</t>
  </si>
  <si>
    <t>4-7 clients</t>
  </si>
  <si>
    <t>3 or less clients</t>
  </si>
  <si>
    <t>11 or more</t>
  </si>
  <si>
    <t>5 - 10 c</t>
  </si>
  <si>
    <t>4 or less</t>
  </si>
  <si>
    <r>
      <rPr>
        <b/>
        <sz val="8"/>
        <rFont val="Arial"/>
        <family val="2"/>
      </rPr>
      <t>(EXAMPLE)</t>
    </r>
    <r>
      <rPr>
        <sz val="8"/>
        <rFont val="Arial"/>
        <family val="2"/>
      </rPr>
      <t xml:space="preserve"> Eskom Requires a supplier who can provide support to all 9 south African provinces.</t>
    </r>
  </si>
  <si>
    <t xml:space="preserve">The Tenderer need to provide documented proof that they can provide the support in the various provinces. For example - a signed customer reference letters indicating support in various provinces and or any other supporting  documentation </t>
  </si>
  <si>
    <t>8 or more provinces</t>
  </si>
  <si>
    <t>6-7 provinces</t>
  </si>
  <si>
    <t>4-5 provinces</t>
  </si>
  <si>
    <t>2-3 provinces</t>
  </si>
  <si>
    <t>1 province</t>
  </si>
  <si>
    <t>Yes</t>
  </si>
  <si>
    <t>No</t>
  </si>
  <si>
    <r>
      <rPr>
        <b/>
        <sz val="8"/>
        <rFont val="Arial"/>
        <family val="2"/>
      </rPr>
      <t>(EXAMPLE)</t>
    </r>
    <r>
      <rPr>
        <sz val="8"/>
        <rFont val="Arial"/>
        <family val="2"/>
      </rPr>
      <t xml:space="preserve"> Eskom requires a system that can provide the following functions: 3% will be allocated for each available function
1-Custom log-in
2- Search function
3-email notifications
4-storing business documents
5-user tracking
6-Active links to the relevant legislation
7-preview option before submitting
</t>
    </r>
  </si>
  <si>
    <t>The tender must provide in the submission a list of the functions available with the system with a screenshot as evidence that the function is available.</t>
  </si>
  <si>
    <t>7-functions</t>
  </si>
  <si>
    <t>6 functions</t>
  </si>
  <si>
    <t>5 functions</t>
  </si>
  <si>
    <t>4 functions</t>
  </si>
  <si>
    <t>3 functions</t>
  </si>
  <si>
    <t>Eskom Group IT:  Technical Evaluation Criteria
Category: Cloud</t>
  </si>
  <si>
    <t>The cloud service model (i.e. IaaS, PaaS or SaaS) and deployment model (i.e. Private, Public or Hybrid cloud) shall be determined by a pre-defined set of Cloud selection criteria as per the Selection Criteria set out by Group IT.</t>
  </si>
  <si>
    <t>Please specify in detail all the Cloud Service Models that are possible with your Solution (e.g. IaaS, PaaS, SaaS, Hybrid, DaaS, XaaS).</t>
  </si>
  <si>
    <t>PaaS or SaaS</t>
  </si>
  <si>
    <t>Other Cloud Service models</t>
  </si>
  <si>
    <t>Please specify your Service Deployment Model (Private, Public or Hybrid).</t>
  </si>
  <si>
    <t>Public cloud</t>
  </si>
  <si>
    <t>Other deployment models</t>
  </si>
  <si>
    <t>Please specify the cloud service providers that the solution can be deployed to (e.g. AWS, Google, Azure, Alibaba etc.)</t>
  </si>
  <si>
    <t>Microsoft Azure</t>
  </si>
  <si>
    <t>Other Cloud Service providers</t>
  </si>
  <si>
    <t>None specified</t>
  </si>
  <si>
    <t xml:space="preserve"> Acceptable locations for the storage and/or processing of Eskom data must be identified in all contracts with CSPs by Eskom.
 In the case of hosting offshore, the location where the Cloud Service is hosted must be assessed and approved for compliance with relevant laws and regulations related to Data Privacy. Any other laws that may override data privacy laws or enable the government of the country in question to access data and personal information sometimes without any prior notification, permission or court order must be assessed.</t>
  </si>
  <si>
    <t>Specify the location, in which ESKOM data, metadata and their copies will be stored.</t>
  </si>
  <si>
    <t>South Africa or EU</t>
  </si>
  <si>
    <t>Other regions</t>
  </si>
  <si>
    <t xml:space="preserve">What is your SaaS pricing model for the capabilities being evaluated?
</t>
  </si>
  <si>
    <t>Specify your cloud pricing model. Choose from below options.
- Upfront commitment: fixed license volume with no downward elasticity
- Hybrid: fixed baseline volume for a set period with the ability to flex up and down from this baseline
- Entirely consumption-based: flexible volume based on usage</t>
  </si>
  <si>
    <t>Consumption Based</t>
  </si>
  <si>
    <t>Hybrid</t>
  </si>
  <si>
    <t>Upfront commitment</t>
  </si>
  <si>
    <t xml:space="preserve">Are innovations or upgrades included in customers subscription fees? </t>
  </si>
  <si>
    <t>Provide confirmation that innnovations and upgrades are included in subscription fees or not.</t>
  </si>
  <si>
    <t>Does your contract offer flexibility to not require payments until full production is achieved during customers implementation?</t>
  </si>
  <si>
    <t>Confirm if your contract offer flexibility to not require payments until full production is achieved during customers implementation?</t>
  </si>
  <si>
    <t>Are higher levels of encryption (at rest and in transit) possible without additional fee?</t>
  </si>
  <si>
    <t>Confirm higher levels of encryption (at rest and in transit) will attract additional fees or not?</t>
  </si>
  <si>
    <t>No Additional Fees</t>
  </si>
  <si>
    <t>Additional Fees</t>
  </si>
  <si>
    <t>Do you offer multiple levels of SaaS support at additional cost?</t>
  </si>
  <si>
    <t>Confirm if multiple levels of SaaS support will attract additional cost or not?</t>
  </si>
  <si>
    <t>How many test/additional tenants (aside from the production/live tenant) are included within customers' subscription fees?</t>
  </si>
  <si>
    <t>Confirm environments included in the subscription fees:
- Dev, QA and production
- Production and QA
- Only production environment</t>
  </si>
  <si>
    <t>Dev, QA and production</t>
  </si>
  <si>
    <t>Production and QA</t>
  </si>
  <si>
    <t>Only production environment</t>
  </si>
  <si>
    <t>Eskom Group IT:  Technical Evaluation Criteria
Category: Security</t>
  </si>
  <si>
    <r>
      <rPr>
        <u/>
        <sz val="8"/>
        <color rgb="FF000000"/>
        <rFont val="Arial"/>
        <family val="2"/>
      </rPr>
      <t xml:space="preserve">Third-Party Attestation Reports
</t>
    </r>
    <r>
      <rPr>
        <sz val="8"/>
        <color rgb="FF000000"/>
        <rFont val="Arial"/>
        <family val="2"/>
      </rPr>
      <t>The Tenderer shall have a valid SOC 1 Type II and SOC 2 Type II Reports for the proposed SaaS solution.
 If the SOC 1 Type II and SOC 2 Type II report are older than six (6) months, the Bridge Letter must be submitted.</t>
    </r>
  </si>
  <si>
    <t>The Tenderer is required to submit a valid SOC 1 Type II and SOC 2 Type II Reports for the proposed SaaS solution.
If the SOC 1 Type II and SOC 2 Type II report are older than six (6) months, the Bridge Letter must be submitted.</t>
  </si>
  <si>
    <t>Tenderer does have a valid SOC 2 Type II and/or Bridge Letter.</t>
  </si>
  <si>
    <t>No compliance - Tenderer does not have the SOC 2 Type II Report and/or Bridge Letter.</t>
  </si>
  <si>
    <r>
      <rPr>
        <u/>
        <sz val="8"/>
        <color rgb="FF000000"/>
        <rFont val="Arial"/>
        <family val="2"/>
      </rPr>
      <t xml:space="preserve">ISO Certifications
</t>
    </r>
    <r>
      <rPr>
        <sz val="8"/>
        <color rgb="FF000000"/>
        <rFont val="Arial"/>
        <family val="2"/>
      </rPr>
      <t>The Tenderer shall have a valid ISO27001, ISO27017 and ISO27018 certificates</t>
    </r>
  </si>
  <si>
    <t>The Tenderer is required to submit a valid ISO 27001, ISO27017 and ISO27018 certificates.</t>
  </si>
  <si>
    <t>Fully comply with requirement - Tenderer does have a valid ISO27001, ISO27017 and ISO27018 Certificates.</t>
  </si>
  <si>
    <t>No compliance - Tenderer does not have ISO27001, ISO27017 and ISO27018 Certificates.</t>
  </si>
  <si>
    <r>
      <rPr>
        <u/>
        <sz val="8"/>
        <color rgb="FF000000"/>
        <rFont val="Arial"/>
        <family val="2"/>
      </rPr>
      <t xml:space="preserve">Integration Security
</t>
    </r>
    <r>
      <rPr>
        <sz val="8"/>
        <color rgb="FF000000"/>
        <rFont val="Arial"/>
        <family val="2"/>
      </rPr>
      <t>Integration to Eskom's existing IdP's such as Microsoft (MS) on-prem active directory (AD) MS Entra ID to enable Multi-factor Authentication (MFA) and Single sign on (SSO).
The proposed SaaS solution shall be able to integrate with MS AD, Entra ID and support SAML 2.0 and OAuth 2.0 to enable MFA and  SSO.</t>
    </r>
  </si>
  <si>
    <t xml:space="preserve">The Tenderer is required to submit the OEM documentation, technical specification and design that depicts that the solution supports integration to Entra ID to enable MFA and SSO.
</t>
  </si>
  <si>
    <t>Fully comply with requirement - The proposed solution does integrate with Eskom's MS AD, and Entra ID to enable SSO and MFA.</t>
  </si>
  <si>
    <t>No compliance - The proposed solution is unable to integrate with MS AD, MDI, Entra ID and MFA.</t>
  </si>
  <si>
    <r>
      <rPr>
        <u/>
        <sz val="8"/>
        <color rgb="FF000000"/>
        <rFont val="Arial"/>
        <family val="2"/>
      </rPr>
      <t xml:space="preserve">RBAC
</t>
    </r>
    <r>
      <rPr>
        <sz val="8"/>
        <color rgb="FF000000"/>
        <rFont val="Arial"/>
        <family val="2"/>
      </rPr>
      <t>The proposed SaaS solution must support and employ RBAC mechanism.</t>
    </r>
  </si>
  <si>
    <t xml:space="preserve">
The Tenderer is required to submit the OEM documentation, technical specification and design that depicts that depicts that solution supports RBAC. </t>
  </si>
  <si>
    <t>Fully comply with requirement - The proposed solution does support and employ RBAC mechanism</t>
  </si>
  <si>
    <t xml:space="preserve"> No compliance - The proposed solution does not support and employ RBAC mechanism</t>
  </si>
  <si>
    <r>
      <rPr>
        <u/>
        <sz val="8"/>
        <color rgb="FF000000"/>
        <rFont val="Arial"/>
        <family val="2"/>
      </rPr>
      <t xml:space="preserve">Encryption Standard
</t>
    </r>
    <r>
      <rPr>
        <sz val="8"/>
        <color rgb="FF000000"/>
        <rFont val="Arial"/>
        <family val="2"/>
      </rPr>
      <t>The proposed SaaS solution shall encrypt data at rest using at minimum AES-256, in use and  in transit (or in motion) using at minimum TLS 1.3 or later version.</t>
    </r>
  </si>
  <si>
    <t xml:space="preserve">
The Tenderer is required to submit the OEM documentation, technical specification and design that depicts that data  is encrypted in transit, at rest and in use.</t>
  </si>
  <si>
    <t xml:space="preserve"> Fully comply with requirement - The proposed solution does encrypt data at rest (AES-256) and in transit (TLS 1.3 or later version)</t>
  </si>
  <si>
    <t>No compliance - The proposed solution does not encrypt data at rest (AES-256) and in transit (TLS 1.3 or later version)</t>
  </si>
  <si>
    <r>
      <rPr>
        <u/>
        <sz val="8"/>
        <color rgb="FF000000"/>
        <rFont val="Arial"/>
        <family val="2"/>
      </rPr>
      <t xml:space="preserve">Audit Trails, Logs, User and Activity Logs
</t>
    </r>
    <r>
      <rPr>
        <sz val="8"/>
        <color rgb="FF000000"/>
        <rFont val="Arial"/>
        <family val="2"/>
      </rPr>
      <t>The proposed SaaS solution shall have Audit trails, logs, user administration and user activity logs enabled, encrypted, and securely kept with limited access to administrators.</t>
    </r>
  </si>
  <si>
    <t>The Tenderer is required to submit the OEM documentation, technical specification and design that depicts that logs are enabled, encrypred and security kept.</t>
  </si>
  <si>
    <t>Fully comply with requirement - The proposed solution does have Audit trails, logs, user administration and user activity logs shall be enabled, encrypted, and securely kept with limited access to administrators.</t>
  </si>
  <si>
    <t>No compliance - The proposed solution does not have Audit trails, logs, user administration and user activity logs shall be enabled, encrypted, and securely kept with limited access to administrators.</t>
  </si>
  <si>
    <r>
      <rPr>
        <u/>
        <sz val="8"/>
        <color rgb="FF000000"/>
        <rFont val="Arial"/>
        <family val="2"/>
      </rPr>
      <t xml:space="preserve">Data Masking
</t>
    </r>
    <r>
      <rPr>
        <sz val="8"/>
        <color rgb="FF000000"/>
        <rFont val="Arial"/>
        <family val="2"/>
      </rPr>
      <t xml:space="preserve">Sensitive data such as PII shall be masked on the non-production environments to lessen exposure.
</t>
    </r>
  </si>
  <si>
    <t>The Tenderer is required to submit the OEM documentation, technical specification and design that depicts that data masking is masked in non-production environement.</t>
  </si>
  <si>
    <t>Fully comply with requirement - The proposed solution does mask PII on nonproduction environments</t>
  </si>
  <si>
    <t>No compliance - The proposed solution does not mask PII in nonproduction environments.</t>
  </si>
  <si>
    <r>
      <rPr>
        <u/>
        <sz val="8"/>
        <color rgb="FF000000"/>
        <rFont val="Arial"/>
        <family val="2"/>
      </rPr>
      <t xml:space="preserve">Daily Incremental Back Ups
</t>
    </r>
    <r>
      <rPr>
        <sz val="8"/>
        <color rgb="FF000000"/>
        <rFont val="Arial"/>
        <family val="2"/>
      </rPr>
      <t>Incremental daily back-ups shall be done, encrypted, and securely kept offsite</t>
    </r>
  </si>
  <si>
    <r>
      <rPr>
        <b/>
        <sz val="8"/>
        <color rgb="FF000000"/>
        <rFont val="Arial"/>
        <family val="2"/>
      </rPr>
      <t xml:space="preserve">
</t>
    </r>
    <r>
      <rPr>
        <sz val="8"/>
        <color rgb="FF000000"/>
        <rFont val="Arial"/>
        <family val="2"/>
      </rPr>
      <t xml:space="preserve">The Tenderer is required to submit the OEM documentation, technical specification and design that depicts that daily increamental back ups are done, encrypted and kept offsite. </t>
    </r>
  </si>
  <si>
    <t xml:space="preserve"> Fully comply with requirement - Daily incremental Back ups are done, encrypted and securely kept offsite.</t>
  </si>
  <si>
    <t>No compliance - No daily incremental back ups.</t>
  </si>
  <si>
    <r>
      <rPr>
        <u/>
        <sz val="8"/>
        <color rgb="FF000000"/>
        <rFont val="Arial"/>
        <family val="2"/>
      </rPr>
      <t xml:space="preserve">Real-time data synchronization or data replication
</t>
    </r>
    <r>
      <rPr>
        <sz val="8"/>
        <color rgb="FF000000"/>
        <rFont val="Arial"/>
        <family val="2"/>
      </rPr>
      <t>The Tenderer shall employ real-time data synchronization or data replication to a secondary or disaster recovery (DR) site, located in different region.</t>
    </r>
  </si>
  <si>
    <r>
      <rPr>
        <b/>
        <sz val="8"/>
        <color rgb="FF000000"/>
        <rFont val="Arial"/>
        <family val="2"/>
      </rPr>
      <t xml:space="preserve">
</t>
    </r>
    <r>
      <rPr>
        <sz val="8"/>
        <color rgb="FF000000"/>
        <rFont val="Arial"/>
        <family val="2"/>
      </rPr>
      <t>The Tenderer is required to submit the OEM documentation, technical specification and design that depicts thatdata is syncronised, replicated to secondary site.</t>
    </r>
  </si>
  <si>
    <t>Fully comply with requirement - Real-time or data synchronisation is employed.</t>
  </si>
  <si>
    <t>No compliance - No real-time or data synchronisation is employed.</t>
  </si>
  <si>
    <r>
      <rPr>
        <u/>
        <sz val="8"/>
        <color rgb="FF000000"/>
        <rFont val="Arial"/>
        <family val="2"/>
      </rPr>
      <t xml:space="preserve">Patch Management
</t>
    </r>
    <r>
      <rPr>
        <sz val="8"/>
        <color rgb="FF000000"/>
        <rFont val="Arial"/>
        <family val="2"/>
      </rPr>
      <t>Patch Management Process  shall be defined. Software updates and patches shall be tested on development environment prior being deployed into production environment.</t>
    </r>
  </si>
  <si>
    <t>The Tenderer is required to submit an approved Patch Management Process.</t>
  </si>
  <si>
    <t xml:space="preserve"> Fully Compliant - Patch management process is defined, software updates and patches are tested on nonproduction prior environment production.</t>
  </si>
  <si>
    <t>No Compliance - No patch management process is defined, software updates and patches are tested on nonproduction environment production.</t>
  </si>
  <si>
    <r>
      <rPr>
        <u/>
        <sz val="8"/>
        <color rgb="FF000000"/>
        <rFont val="Arial"/>
        <family val="2"/>
      </rPr>
      <t xml:space="preserve">POPIA Compliance
</t>
    </r>
    <r>
      <rPr>
        <sz val="8"/>
        <color rgb="FF000000"/>
        <rFont val="Arial"/>
        <family val="2"/>
      </rPr>
      <t>The Tenderer shall comply with applicable privacy and protection of personal information Acts such as GDPR in European Union (EU) and POPIA in South Africa (SA) where the cloud service is hosted, where the data is collected and the region where the data subjects are physically located. If hosted in EU, the Tenderer shall confirm that the data of the natural and juristic persons personal Identifiable Information (PII) will be protected.</t>
    </r>
  </si>
  <si>
    <r>
      <rPr>
        <b/>
        <sz val="8"/>
        <color rgb="FF000000"/>
        <rFont val="Arial"/>
        <family val="2"/>
      </rPr>
      <t xml:space="preserve">
</t>
    </r>
    <r>
      <rPr>
        <sz val="8"/>
        <color rgb="FF000000"/>
        <rFont val="Arial"/>
        <family val="2"/>
      </rPr>
      <t>The Tenderer is required to submit the Privacy Policy.</t>
    </r>
  </si>
  <si>
    <t>Fully Compliant- The tender does comply with both GDPR and POPIA where the cloud service is hosted and where the data subjects are hosted, tenderer provides the natural and juristic persons PII is protected.</t>
  </si>
  <si>
    <t>Non Compliance  - The tender does not comply with both GDPR and POPIA where the cloud service is hosted and where the data subjects are hosted, tenderer provides the natural and juristic persons PII is protected.</t>
  </si>
  <si>
    <r>
      <rPr>
        <u/>
        <sz val="8"/>
        <color rgb="FF000000"/>
        <rFont val="Arial"/>
        <family val="2"/>
      </rPr>
      <t xml:space="preserve">Confidentiality or Privacy Policy
</t>
    </r>
    <r>
      <rPr>
        <sz val="8"/>
        <color rgb="FF000000"/>
        <rFont val="Arial"/>
        <family val="2"/>
      </rPr>
      <t>The Tenderer shall have a confidentiality or privacy policy with regards to its employees, partners and subcontractors.</t>
    </r>
  </si>
  <si>
    <t>The Tenderer is required to submit the Privacy Policy.</t>
  </si>
  <si>
    <t>Fully comply with requirement - The Tender have confidentiality and privacy policy for employees, partners and subcontractor.</t>
  </si>
  <si>
    <t>No compliance - The Tender does not have confidentiality and privacy policy for employees, partners and subcontractor.</t>
  </si>
  <si>
    <r>
      <rPr>
        <u/>
        <sz val="8"/>
        <color rgb="FF000000"/>
        <rFont val="Arial"/>
        <family val="2"/>
      </rPr>
      <t xml:space="preserve">Application Security (AppSec) Tests
</t>
    </r>
    <r>
      <rPr>
        <sz val="8"/>
        <color rgb="FF000000"/>
        <rFont val="Arial"/>
        <family val="2"/>
      </rPr>
      <t>The Tenderer shall perform static application security test (SAST), and dynamic application security test (DAST), vulnerability assessment, penetration test prior deploying the cloud system to production environments.</t>
    </r>
  </si>
  <si>
    <t>The Tenderer is required to submit the recent SAST, DAST, Vulnerability Assessment and Penetration Test Results.</t>
  </si>
  <si>
    <t xml:space="preserve"> Fully comply with requirement - The Tenderer does perform SAST, DAST and Penetration Test (Test Results are required).</t>
  </si>
  <si>
    <t>No compliance - The Tenderer does not perform SAST, DAST and Penetration Test..</t>
  </si>
  <si>
    <r>
      <rPr>
        <u/>
        <sz val="8"/>
        <color rgb="FF000000"/>
        <rFont val="Arial"/>
        <family val="2"/>
      </rPr>
      <t xml:space="preserve">Cyber or Data Breach Incident Notification
</t>
    </r>
    <r>
      <rPr>
        <sz val="8"/>
        <color rgb="FF000000"/>
        <rFont val="Arial"/>
        <family val="2"/>
      </rPr>
      <t>Tenderer shall have formal notification process to notify customers of cyber attack and data breach incidents. Please specify the service level agreement (SLA).</t>
    </r>
  </si>
  <si>
    <t>The Tenderer is required to submit a Cyber and Data Breach Incident Notification Process, Generic SaaS Contract and SLA that depicts that customers are indeed notified. An exact extract of the contract and SLA that depicts these requirements.</t>
  </si>
  <si>
    <t>Fully comply with requirement - The Tenderer does notify Eskom if there is cyber attack or data breaches and SLA is place.</t>
  </si>
  <si>
    <t xml:space="preserve"> No compliance -  The Tenderer does not notify Eskom if there is cyber attack or data breaches and no SLA is place.</t>
  </si>
  <si>
    <r>
      <rPr>
        <u/>
        <sz val="8"/>
        <color rgb="FF000000"/>
        <rFont val="Arial"/>
        <family val="2"/>
      </rPr>
      <t xml:space="preserve">Significant Changes Notification
</t>
    </r>
    <r>
      <rPr>
        <sz val="8"/>
        <color rgb="FF000000"/>
        <rFont val="Arial"/>
        <family val="2"/>
      </rPr>
      <t>The Tenderer shall notify Eskom if there are any significant changes to the business, platform and hosting service provider or any change that could have an impact the security assessment conducted and the auditor’s opinion on the SOC audit.
The Tenderer shall have 1 month, 6 months and 12 months SLA in place.</t>
    </r>
  </si>
  <si>
    <t>The Tenderer is required to submit a generic SaaS Contract and SLA. An Exact extract of the contract and SLA that depicts that customers are notified of significant changes..</t>
  </si>
  <si>
    <t>Fully comply with requirement - The Tender does notify Eskom if there are any significant changes to the business, platform and hosting service provider or any change that could have an impact the security assessment conducted and SLA is in place.</t>
  </si>
  <si>
    <t>No compliance - The tender does not notify Eskom if there are any significant changes to the business, platform and hosting service provider or any change that could have an impact the security assessment conducted and SLA is in place.</t>
  </si>
  <si>
    <r>
      <rPr>
        <u/>
        <sz val="8"/>
        <color rgb="FF000000"/>
        <rFont val="Arial"/>
        <family val="2"/>
      </rPr>
      <t xml:space="preserve">Database Security Management
</t>
    </r>
    <r>
      <rPr>
        <sz val="8"/>
        <color rgb="FF000000"/>
        <rFont val="Arial"/>
        <family val="2"/>
      </rPr>
      <t xml:space="preserve"> 1. The Tenderer shall place the database behind the perimeter firewall.
2. The Tenderer shall employ database security management tool to provide regulatory compliance (Such as POPIA and GDPR), encryption, key management, granular access controls, flexible data masking, comprehensive activity monitoring, and sophisticated auditing capabilities.</t>
    </r>
  </si>
  <si>
    <t>The Tenderer is required to submit the OEM documentation, technical specification and design that depicts that the Databases are placed behind the Firewall, name of the Database Security Management Tool and Recent Results.</t>
  </si>
  <si>
    <t>Fully comply with requirement - The proposed solution does have DDoS protection mechanism.</t>
  </si>
  <si>
    <t>No compliance - The proposed solution does not have DDoS protection mechanism.</t>
  </si>
  <si>
    <r>
      <rPr>
        <u/>
        <sz val="8"/>
        <color rgb="FF000000"/>
        <rFont val="Arial"/>
        <family val="2"/>
      </rPr>
      <t xml:space="preserve">Distributed Denial of Service (DDoS) Protection Mechanism
</t>
    </r>
    <r>
      <rPr>
        <sz val="8"/>
        <color rgb="FF000000"/>
        <rFont val="Arial"/>
        <family val="2"/>
      </rPr>
      <t>The proposed SaaS solution shall employ DDoS protection mechanism.</t>
    </r>
  </si>
  <si>
    <t>The Tenderer is required to submit the OEM documentation, technical specification and design that depicts that DDoS is employed</t>
  </si>
  <si>
    <t>The proposed solution does have DDoS protection mechanism.</t>
  </si>
  <si>
    <t>The proposed solution does not have DDoS protection mechanism.</t>
  </si>
  <si>
    <r>
      <rPr>
        <u/>
        <sz val="8"/>
        <color rgb="FF000000"/>
        <rFont val="Arial"/>
        <family val="2"/>
      </rPr>
      <t xml:space="preserve">Web Application Firewall (WAF)
</t>
    </r>
    <r>
      <rPr>
        <sz val="8"/>
        <color rgb="FF000000"/>
        <rFont val="Arial"/>
        <family val="2"/>
      </rPr>
      <t>The Tenderer shall employ WAF for all internet facing applications and/or web-based applications.</t>
    </r>
  </si>
  <si>
    <t>The Tenderer is required to submit the OEM documentation, technical specification and design that depicts thatWAF is employed.</t>
  </si>
  <si>
    <t>Fully comply with requirement -The proposed solution does employ WAF.</t>
  </si>
  <si>
    <t>No compliance - The proposed solution does not empoy WAF.</t>
  </si>
  <si>
    <r>
      <rPr>
        <u/>
        <sz val="8"/>
        <color rgb="FF000000"/>
        <rFont val="Arial"/>
        <family val="2"/>
      </rPr>
      <t xml:space="preserve">Integration Security
</t>
    </r>
    <r>
      <rPr>
        <sz val="8"/>
        <color rgb="FF000000"/>
        <rFont val="Arial"/>
        <family val="2"/>
      </rPr>
      <t>The proposed SaaS solution shall support the prevailing enterprise services bus (ESB), application programmable interfaces (API’s) and Integration Platform as a Service (iPaaS) platforms for security, logging and monitoring for both on-prem, hybrid-cloud and multi-cloud environments.</t>
    </r>
  </si>
  <si>
    <t xml:space="preserve">The Tenderer is required to submit the OEM documentation, technical specification and design that depicts that the solution supports the ESB, API and iPaaS stated on the requirements. </t>
  </si>
  <si>
    <t>Fully comply with requirement - The proposed solution does support ESB, API's and IPaaS for security, logging and monitoring.</t>
  </si>
  <si>
    <t xml:space="preserve"> No compliance - The proposed solution does not support ESB, API's and IPaaS for security, logging and monitoring.</t>
  </si>
  <si>
    <r>
      <rPr>
        <u/>
        <sz val="8"/>
        <color rgb="FF000000"/>
        <rFont val="Arial"/>
        <family val="2"/>
      </rPr>
      <t xml:space="preserve">e-Discovery
</t>
    </r>
    <r>
      <rPr>
        <sz val="8"/>
        <color rgb="FF000000"/>
        <rFont val="Arial"/>
        <family val="2"/>
      </rPr>
      <t>The proposed SaaS solution shall provide e-Discovery capability to identify, collect and produce electronically stored information (ESI) in response to a request for production in a lawsuit or investigation as part of the cloud services offered.</t>
    </r>
  </si>
  <si>
    <t>The Tenderer is required to submit the OEM documentation, technical specification and design that depicts that the solution provides e-Discovery capability.</t>
  </si>
  <si>
    <t>Fully comply with requirement - The proposed solution does have e-Discovery capability.</t>
  </si>
  <si>
    <t>No compliance - The proposed solution does not have e-Discovery capability.</t>
  </si>
  <si>
    <r>
      <rPr>
        <u/>
        <sz val="8"/>
        <color rgb="FF000000"/>
        <rFont val="Arial"/>
        <family val="2"/>
      </rPr>
      <t xml:space="preserve">DRP/IRM
</t>
    </r>
    <r>
      <rPr>
        <sz val="8"/>
        <color rgb="FF000000"/>
        <rFont val="Arial"/>
        <family val="2"/>
      </rPr>
      <t>1. The Tenderer shall have Disaster Recovery Plan (DRP) and Back up Restore Plan defined, annually tested.
2. The Tenderer shall have Incident Response Management (IRM) process defined, and part of the service level agreement (SLA) and master service agreement (MSA).
3. The Tenderer is required to specify the recovery point objective (RPO) and recovery time objective (RTO)</t>
    </r>
  </si>
  <si>
    <t>The Tenderer is required to submit a recent DRP Results and Back up Restore Results, IRM Process, SLA, RPO and RTO.</t>
  </si>
  <si>
    <t xml:space="preserve"> DRP and Back up Plan is defined, annually tested and IRM is in place and part of the SLA/MSA.</t>
  </si>
  <si>
    <t>DRP, Back up Restore Plan, IRM is not in place and not tested.</t>
  </si>
  <si>
    <r>
      <rPr>
        <u/>
        <sz val="8"/>
        <color rgb="FF000000"/>
        <rFont val="Arial"/>
        <family val="2"/>
      </rPr>
      <t xml:space="preserve">Siem Intergration 
</t>
    </r>
    <r>
      <rPr>
        <sz val="8"/>
        <color rgb="FF000000"/>
        <rFont val="Arial"/>
        <family val="2"/>
      </rPr>
      <t>The system shall be able to integrate with SIEM standard technologies such as Syslog, Windows events logging, SNMP and API, etc.</t>
    </r>
  </si>
  <si>
    <t>The Tenderer is required to submit the OEM documentation, technical specification and design that depicts that the proposed solution is able to intergrate with SIEM standard</t>
  </si>
  <si>
    <t>integration with SIEM via standard protocols (Syslog, Windows Event Log, SNMP, API), and integration has been tested and confirmed.</t>
  </si>
  <si>
    <t>No SIEM integration capability present or enabled; logging is unsupported, disabled, or incompatible with enterprise SIEM tools.</t>
  </si>
  <si>
    <t>Eskom Group IT:  Technical Evaluation Criteria
Category: Demonstration</t>
  </si>
  <si>
    <t>Demonstration Threshold:</t>
  </si>
  <si>
    <r>
      <t xml:space="preserve">Demonstration Brief - </t>
    </r>
    <r>
      <rPr>
        <sz val="8"/>
        <color theme="1"/>
        <rFont val="Arial"/>
        <family val="2"/>
      </rPr>
      <t>Explain to the Vendor what must be included in their presentation</t>
    </r>
  </si>
  <si>
    <t>The Tenderer need to demonstrate they can automate the import of data from the following  database source systems into one BI universe:
1. Oracle
2.SQL</t>
  </si>
  <si>
    <t>Import from Oracle and SQL</t>
  </si>
  <si>
    <t> </t>
  </si>
  <si>
    <t>Import from only SQL</t>
  </si>
  <si>
    <t>Import from only Oracle</t>
  </si>
  <si>
    <t>Cannot import from any database</t>
  </si>
  <si>
    <r>
      <rPr>
        <u/>
        <sz val="8"/>
        <color rgb="FF000000"/>
        <rFont val="Arial"/>
        <family val="2"/>
      </rPr>
      <t xml:space="preserve">Upload source system data for calculation analysis:
</t>
    </r>
    <r>
      <rPr>
        <sz val="8"/>
        <color rgb="FF000000"/>
        <rFont val="Arial"/>
        <family val="2"/>
      </rPr>
      <t>Configure the network
BR5-Need tools in the application to manually configure a network by mapping Stats meters to different feeder and substation configurations. CNL will assist in linking the meters with their sales consumption to a specific feeder comparing sales against consumption measured by STATs meter resulting in energy losses</t>
    </r>
  </si>
  <si>
    <t xml:space="preserve">The Tenderer need to demonstrate that the system can display the manually configuration of a network by mapping Stats meters to different feeder and substation configurations
</t>
  </si>
  <si>
    <t>Can provide the function</t>
  </si>
  <si>
    <t>Can't provide the function</t>
  </si>
  <si>
    <t xml:space="preserve">The Tenderer need to demonstrate that the system can provide the following: 
1. Adjust the energy delivered KWh
2. and/ or the total customer consumption KWh upwards or downwards
</t>
  </si>
  <si>
    <t>Adjust the energy delivered KWh and/ or the total customer consumption KWh upwards or downwards</t>
  </si>
  <si>
    <t xml:space="preserve">Adjust the energy delivered KWh </t>
  </si>
  <si>
    <t>Adjust the total customer consumption KWh upwards or downwards</t>
  </si>
  <si>
    <t>cant deliver</t>
  </si>
  <si>
    <t xml:space="preserve">The Tenderer need to demonstrate that the system can 
adjust technical losses %
</t>
  </si>
  <si>
    <t>Can adjust technical losses %</t>
  </si>
  <si>
    <t>Can't adjust technical losses %</t>
  </si>
  <si>
    <t xml:space="preserve">The Tenderer need to demonstrate that the system can summate all sales per feeder and compare with consumption measured on the mapped feeder.
</t>
  </si>
  <si>
    <t>Can't Summate all sales per feeder and compare with consumption measured on the mapped feeder.</t>
  </si>
  <si>
    <t>Reporting requirements:
Specified reports extract requirements with user access to cource data file</t>
  </si>
  <si>
    <t>Reporting requirements:
Specified reports extract requirements with user access to cource data files</t>
  </si>
  <si>
    <t>The tenderer need to provide documented proof that they can provide the following reports
Group 4: Transformers
1. Transformers in engineering not in CC&amp;B
2. Conventional transformers in CC&amp;B –not in Engineering
3. PPU transformer in CB&amp;B – not in Engineering
4. Transformers_bulk on feeder
5. Trfms_bulk/consumption on feeders
Group 5: Customers &amp; Network Linking
6. CNL- LPU’s in engineering not linked to CC&amp;B
7. CNL- LPU’s in CC&amp;B not in engineering
8. CNL – Trfs and Bulk with no Sales
9. CNL – Duplicate premises</t>
  </si>
  <si>
    <t xml:space="preserve">The Tenderer need to demonstrate that the system can store the monthly data and mapping for the balancing calculation:
1. Network configuration as well as mapping
2. Prepaid sales allocation per CDU and feeder 
3. Statistical metering history
4. Historical customer data
5. Customer network list
6. All historic data [time stamped][Minimum of 48 months un-archived data available]Display KPI results consolidated nationally
</t>
  </si>
  <si>
    <t xml:space="preserve">Provide all 6 requirement </t>
  </si>
  <si>
    <t>Provide 5 requirements</t>
  </si>
  <si>
    <t>Provide 4 requirements</t>
  </si>
  <si>
    <t>Provide 3 requirements</t>
  </si>
  <si>
    <t>Provide 2 requirements</t>
  </si>
  <si>
    <t>Provide 1 requirements</t>
  </si>
  <si>
    <t>Provide 0 requirements</t>
  </si>
  <si>
    <t xml:space="preserve">The Tenderer need to demonstrate that the system can upgrade local database to SQL Server/MySQL/PostgreSQL
</t>
  </si>
  <si>
    <t xml:space="preserve">The Tenderer need to demonstrate that the system can provide the following:
1. Can provide a data validation module. 
2. Data validation is automated and support pre checking the actions before energy balancing. 
3. Data exceptions must be linked to the various key role players in the business processes for corrective actions
4. A statistical overview is required to monitor impact and contribution on Loss calculations (e.g. NTL))
</t>
  </si>
  <si>
    <t>provide all 4 functions</t>
  </si>
  <si>
    <t>provide 3 functions</t>
  </si>
  <si>
    <t>provide 2 functions</t>
  </si>
  <si>
    <t>provide 1 function</t>
  </si>
  <si>
    <t>provide 0 functions</t>
  </si>
  <si>
    <t>The Tenderer need to demonstrate that the system can demonstrate that they can  provide a report that list all Supply Points (Trfs/Bulks) in Feeder Consumption Analysis (A detailed report is required to list all the Feeder Supply points in one view. The current Feeder Consumption Analysis report has to be extended)</t>
  </si>
  <si>
    <t>The Tenderer to demonstrate that the system can provide a report that shows Detailed Customer/Feeder Linking(A Report is required to extract all customers linking to each feeder (irrespective of if the feeder is linked to a meter or not))</t>
  </si>
  <si>
    <t xml:space="preserve">The Tenderer to demonstrate that the system can provide documented proof that they can  add Business levels based on Feeders and NOT Substations </t>
  </si>
  <si>
    <t>The Tenderer need to demonstrate that the system can can  visualize and report on Substation level. The functionality is required to publish energy balancing on Substation level)</t>
  </si>
  <si>
    <t>The Tenderer need to to demonstrate that the system can  Establish/Develop a table which defines the relationship between the incoming feeders from Tx and Dx Substations. Reconcile Energy Delivered from incoming feeders and outflowing energy from Dx Substations. MTS Balancing will also incorporate bulk feeders from Tx)</t>
  </si>
  <si>
    <t>The Tenderer need to demonstrate that the system can produce to following reports:
1. Bulk feeders, 
2. Reticulation feeders 
3. Consolidated Report</t>
  </si>
  <si>
    <t>produce 3 reports</t>
  </si>
  <si>
    <t>Produce 2 reports</t>
  </si>
  <si>
    <t>Produce 1 report</t>
  </si>
  <si>
    <t>Produce 0 report</t>
  </si>
  <si>
    <t>Integration to Eskom's existing IdP's such as Microsoft (MS) on-prem active directory (AD) MS Identity (MDI), MS Entra Identity (ID) and Multi-factor Authentication (MFA) and Single sign on (SSO).</t>
  </si>
  <si>
    <t>Demonstrate integration with Eskom's existing IdP's such as Microsoft (MS) on-prem active directory (AD), MS Identity (MDI), MS Entra Identity (ID) and Multi-factor aunthentication (MFA). Authentication</t>
  </si>
  <si>
    <t>Fully comply with requirement - The proposed solution does integrate with Eskom's MS AD, and Entra ID to enable SSO and MFA</t>
  </si>
  <si>
    <t>Encryption Standard
The proposed SaaS solution shall  encrypt data at rest using at minimum AES-256 and  in transit (or in motion) using at minimum TLS 1.2 or later version.</t>
  </si>
  <si>
    <t>Demonstrate encryption of data at rest, in use and in transit (in motion).</t>
  </si>
  <si>
    <t xml:space="preserve">Fully comply with requirement - The proposed solution does encrypt data at rest (AES-256) and in transit (TLS 1.3 or later version)Fully comply with requirement </t>
  </si>
  <si>
    <t>The proposed solution does encrypt data at rest (AES-256) and in transit (TLS 1.3 or later version)</t>
  </si>
  <si>
    <t>Audit Trails, Logs, User and Activity Logs
The proposed SaaS solution shall have Audit trails, logs, user administration and user activity logs enabled, encrypted, and securely kept with limited access to administrators</t>
  </si>
  <si>
    <t>Demonstrate how Audit Trails, Logs, User and Activity Logs are enabled, encrypted and securely kept with limited acess to administrators.</t>
  </si>
  <si>
    <t xml:space="preserve">The proposed solution does not have Audit trails, logs, user </t>
  </si>
  <si>
    <t>Data Masking
Sensitive data such as PII shall be masked on the non-production environments lessen exposure.</t>
  </si>
  <si>
    <t>Demonstrate how sensitive data such as PII is masked.</t>
  </si>
  <si>
    <t>Fully comply with requirement - The proposed solution does mask PII on nonproduction environments.</t>
  </si>
  <si>
    <t>The proposed solution does not mask PII on nonproduction environments.</t>
  </si>
  <si>
    <t>DDoS Protection Mechanism
The proposed SaaS solution shall employ DDoS protection mechanism.</t>
  </si>
  <si>
    <t>Demonstrate how DDoS Protection Mechanism is integrated with the proposed solution.</t>
  </si>
  <si>
    <t>Eskom requires the system to support and employ a Role Based Access Control (RBAC) Mechanism</t>
  </si>
  <si>
    <t>Demonstrate that the solution have the ability to support and employ RBAC.</t>
  </si>
  <si>
    <t>No compliance- Fully compliance-The system does not support RBAC.</t>
  </si>
  <si>
    <t>e-Discovery
The proposed SaaS solution shall provide e-Discovery capability to identify, collect and produce electronically stored information (ESI) in response to a request for production in a lawsuit or investigation as part of the cloud services offered.</t>
  </si>
  <si>
    <t>Demonstrate the solution has the e discovery capability.</t>
  </si>
  <si>
    <t>The proposed solution does have e-Discovery capability.</t>
  </si>
  <si>
    <t>The proposed solution does not have e-Discovery capability.</t>
  </si>
  <si>
    <t>The system shall be able to integrate with SIEM standard technologies such as Syslog, Windows events logging, SNMP and API, etc.</t>
  </si>
  <si>
    <t>Demonstate that the solution have the ability to integrate with SIEMsuch as Syslog, Windows events logging, SNMP and API, etc..</t>
  </si>
  <si>
    <t>System supports full integration with SIEM via standard protocols (Syslog, Windows Event Log, SNMP, API), and integration has been tested and confirmed.</t>
  </si>
  <si>
    <t>Abbreviations</t>
  </si>
  <si>
    <t>Definitions</t>
  </si>
  <si>
    <t>Instruction</t>
  </si>
  <si>
    <t>Feeder Balancing Module</t>
  </si>
  <si>
    <t xml:space="preserve">1. Only vendors who meet or exceed the stipulated desktop threshold(s) will proceed to the next stage of evaluation i.e Phase 2 – Demonstrations.
</t>
  </si>
  <si>
    <t>Instructions</t>
  </si>
  <si>
    <t>1. Preferably, the demonstrations will be held virtually. However, depending on the supplier's location, a decision can be made to conduct a physical session either at MWP or at the supplier's offices
2. Vendors will be allocated not more than 5hrs to present their demonstration. This is a guideline but will be applicable to all suppliers.
3. Following the presentation 1h30 will be allocated for evaluators to ask clarity seeking questions. This is a guideline but will be applicable to all suppliers.
4. Suppliers who have made it through to the next stage i.e.  demostration phase will be provided with sample data for the demonstrations
5. All vendors who meet or exceed the stated threshold(s) for the demonstration will proceed to commercial evaluations, those who fail will be disqualified from the tender process.
6. An evaluation report will be compiled detailing the outcome of the demonstration evaluation and shared with the procurement practitioner for further assessment of the vendors who have passed.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</si>
</sst>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43" x14ac:knownFonts="1">
    <font>
      <sz val="11"/>
      <color theme="1"/>
      <name val="Calibri"/>
      <family val="2"/>
      <scheme val="minor"/>
    </font>
    <font>
      <sz val="11"/>
      <color theme="1"/>
      <name val="Calibri"/>
      <family val="2"/>
      <scheme val="minor"/>
    </font>
    <font>
      <sz val="11"/>
      <color indexed="8"/>
      <name val="Arial"/>
      <family val="2"/>
    </font>
    <font>
      <b/>
      <sz val="11"/>
      <color indexed="8"/>
      <name val="Arial"/>
      <family val="2"/>
    </font>
    <font>
      <sz val="12"/>
      <color indexed="8"/>
      <name val="Arial"/>
      <family val="2"/>
    </font>
    <font>
      <b/>
      <sz val="12"/>
      <color indexed="8"/>
      <name val="Arial"/>
      <family val="2"/>
    </font>
    <font>
      <b/>
      <u/>
      <sz val="11"/>
      <color rgb="FFC00000"/>
      <name val="Arial"/>
      <family val="2"/>
    </font>
    <font>
      <sz val="11"/>
      <color rgb="FF000000"/>
      <name val="Arial"/>
      <family val="2"/>
    </font>
    <font>
      <b/>
      <sz val="16"/>
      <color rgb="FFC00000"/>
      <name val="Arial"/>
      <family val="2"/>
    </font>
    <font>
      <b/>
      <sz val="11"/>
      <color theme="1"/>
      <name val="Arial"/>
      <family val="2"/>
    </font>
    <font>
      <sz val="11"/>
      <color theme="1"/>
      <name val="Arial"/>
      <family val="2"/>
    </font>
    <font>
      <sz val="8"/>
      <color theme="1"/>
      <name val="Arial"/>
      <family val="2"/>
    </font>
    <font>
      <b/>
      <sz val="8"/>
      <color theme="1"/>
      <name val="Arial"/>
      <family val="2"/>
    </font>
    <font>
      <sz val="12"/>
      <color theme="1"/>
      <name val="Arial"/>
      <family val="2"/>
    </font>
    <font>
      <i/>
      <sz val="8"/>
      <color theme="1"/>
      <name val="Arial"/>
      <family val="2"/>
    </font>
    <font>
      <b/>
      <sz val="8"/>
      <name val="Arial"/>
      <family val="2"/>
    </font>
    <font>
      <i/>
      <sz val="8"/>
      <name val="Arial"/>
      <family val="2"/>
    </font>
    <font>
      <b/>
      <u/>
      <sz val="12"/>
      <color theme="1"/>
      <name val="Arial"/>
      <family val="2"/>
    </font>
    <font>
      <sz val="8"/>
      <name val="Arial"/>
      <family val="2"/>
    </font>
    <font>
      <sz val="8"/>
      <color indexed="8"/>
      <name val="Arial"/>
      <family val="2"/>
    </font>
    <font>
      <sz val="8"/>
      <color rgb="FFFF0000"/>
      <name val="Arial"/>
      <family val="2"/>
    </font>
    <font>
      <i/>
      <sz val="8"/>
      <color rgb="FFFF0000"/>
      <name val="Arial"/>
      <family val="2"/>
    </font>
    <font>
      <b/>
      <i/>
      <sz val="8"/>
      <color rgb="FFFF0000"/>
      <name val="Arial"/>
      <family val="2"/>
    </font>
    <font>
      <b/>
      <i/>
      <sz val="8"/>
      <name val="Arial"/>
      <family val="2"/>
    </font>
    <font>
      <b/>
      <sz val="7"/>
      <color theme="1"/>
      <name val="Arial"/>
      <family val="2"/>
    </font>
    <font>
      <u/>
      <sz val="8"/>
      <name val="Arial"/>
      <family val="2"/>
    </font>
    <font>
      <b/>
      <sz val="12"/>
      <color theme="1"/>
      <name val="Calibri"/>
      <family val="2"/>
      <scheme val="minor"/>
    </font>
    <font>
      <b/>
      <u/>
      <sz val="8"/>
      <color theme="1"/>
      <name val="Arial"/>
      <family val="2"/>
    </font>
    <font>
      <sz val="9"/>
      <color theme="1"/>
      <name val="Arial"/>
      <family val="2"/>
    </font>
    <font>
      <sz val="11"/>
      <color rgb="FFFF0000"/>
      <name val="Arial"/>
      <family val="2"/>
    </font>
    <font>
      <b/>
      <u/>
      <sz val="10"/>
      <color theme="1"/>
      <name val="Arial"/>
      <family val="2"/>
    </font>
    <font>
      <b/>
      <u/>
      <sz val="12"/>
      <color theme="4"/>
      <name val="Arial"/>
      <family val="2"/>
    </font>
    <font>
      <b/>
      <u/>
      <sz val="14"/>
      <color theme="1"/>
      <name val="Arial"/>
      <family val="2"/>
    </font>
    <font>
      <b/>
      <sz val="16"/>
      <color theme="0"/>
      <name val="Arial"/>
      <family val="2"/>
    </font>
    <font>
      <u/>
      <sz val="8"/>
      <color rgb="FF000000"/>
      <name val="Arial"/>
      <family val="2"/>
    </font>
    <font>
      <sz val="8"/>
      <color rgb="FF000000"/>
      <name val="Arial"/>
      <family val="2"/>
    </font>
    <font>
      <i/>
      <sz val="8"/>
      <color rgb="FF000000"/>
      <name val="Arial"/>
      <family val="2"/>
    </font>
    <font>
      <b/>
      <sz val="8"/>
      <color rgb="FF000000"/>
      <name val="Arial"/>
      <family val="2"/>
    </font>
    <font>
      <sz val="8"/>
      <color theme="1"/>
      <name val="Calibri"/>
      <family val="2"/>
      <scheme val="minor"/>
    </font>
    <font>
      <sz val="8"/>
      <color rgb="FF000000"/>
      <name val="Arial"/>
      <family val="2"/>
    </font>
    <font>
      <sz val="10"/>
      <color theme="1"/>
      <name val="Arial"/>
      <family val="2"/>
    </font>
    <font>
      <sz val="11"/>
      <name val="Arial"/>
      <family val="2"/>
    </font>
    <font>
      <b/>
      <sz val="11"/>
      <name val="Arial"/>
      <family val="2"/>
    </font>
  </fonts>
  <fills count="21">
    <fill>
      <patternFill patternType="none"/>
    </fill>
    <fill>
      <patternFill patternType="gray125"/>
    </fill>
    <fill>
      <patternFill patternType="solid">
        <fgColor rgb="FF99FF99"/>
        <bgColor indexed="64"/>
      </patternFill>
    </fill>
    <fill>
      <patternFill patternType="solid">
        <fgColor rgb="FFC97A00"/>
        <bgColor indexed="64"/>
      </patternFill>
    </fill>
    <fill>
      <patternFill patternType="solid">
        <fgColor rgb="FF22A2A8"/>
        <bgColor indexed="64"/>
      </patternFill>
    </fill>
    <fill>
      <patternFill patternType="solid">
        <fgColor rgb="FF71725B"/>
        <bgColor indexed="64"/>
      </patternFill>
    </fill>
    <fill>
      <patternFill patternType="solid">
        <fgColor rgb="FF0DB02B"/>
        <bgColor indexed="64"/>
      </patternFill>
    </fill>
    <fill>
      <patternFill patternType="solid">
        <fgColor rgb="FF003896"/>
        <bgColor indexed="64"/>
      </patternFill>
    </fill>
    <fill>
      <patternFill patternType="solid">
        <fgColor rgb="FF598787"/>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96330F"/>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s>
  <borders count="220">
    <border>
      <left/>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rgb="FF000000"/>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rgb="FF000000"/>
      </left>
      <right style="thin">
        <color indexed="64"/>
      </right>
      <top/>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rgb="FF000000"/>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style="medium">
        <color indexed="64"/>
      </left>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top style="thin">
        <color rgb="FF000000"/>
      </top>
      <bottom/>
      <diagonal/>
    </border>
    <border>
      <left style="medium">
        <color indexed="64"/>
      </left>
      <right style="thin">
        <color indexed="64"/>
      </right>
      <top style="medium">
        <color indexed="64"/>
      </top>
      <bottom/>
      <diagonal/>
    </border>
    <border>
      <left/>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indexed="64"/>
      </left>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medium">
        <color rgb="FF000000"/>
      </left>
      <right style="medium">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medium">
        <color rgb="FF000000"/>
      </bottom>
      <diagonal/>
    </border>
    <border>
      <left/>
      <right/>
      <top style="thin">
        <color rgb="FF000000"/>
      </top>
      <bottom style="medium">
        <color rgb="FF000000"/>
      </bottom>
      <diagonal/>
    </border>
    <border>
      <left style="medium">
        <color rgb="FF000000"/>
      </left>
      <right style="medium">
        <color indexed="64"/>
      </right>
      <top style="thin">
        <color indexed="64"/>
      </top>
      <bottom/>
      <diagonal/>
    </border>
    <border>
      <left style="medium">
        <color rgb="FF000000"/>
      </left>
      <right style="medium">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medium">
        <color rgb="FF000000"/>
      </right>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medium">
        <color rgb="FF000000"/>
      </bottom>
      <diagonal/>
    </border>
    <border>
      <left/>
      <right style="medium">
        <color rgb="FF000000"/>
      </right>
      <top/>
      <bottom/>
      <diagonal/>
    </border>
    <border>
      <left style="medium">
        <color rgb="FF000000"/>
      </left>
      <right style="thin">
        <color indexed="64"/>
      </right>
      <top/>
      <bottom/>
      <diagonal/>
    </border>
    <border>
      <left style="medium">
        <color rgb="FF000000"/>
      </left>
      <right style="thin">
        <color indexed="64"/>
      </right>
      <top style="medium">
        <color rgb="FF000000"/>
      </top>
      <bottom style="thin">
        <color indexed="64"/>
      </bottom>
      <diagonal/>
    </border>
    <border>
      <left style="medium">
        <color rgb="FF000000"/>
      </left>
      <right style="thin">
        <color indexed="64"/>
      </right>
      <top/>
      <bottom style="medium">
        <color rgb="FF000000"/>
      </bottom>
      <diagonal/>
    </border>
    <border>
      <left style="medium">
        <color rgb="FF000000"/>
      </left>
      <right/>
      <top style="medium">
        <color rgb="FF000000"/>
      </top>
      <bottom style="thin">
        <color indexed="64"/>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thin">
        <color indexed="64"/>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indexed="64"/>
      </top>
      <bottom style="medium">
        <color rgb="FF000000"/>
      </bottom>
      <diagonal/>
    </border>
    <border>
      <left/>
      <right style="thin">
        <color rgb="FF000000"/>
      </right>
      <top/>
      <bottom style="thin">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indexed="64"/>
      </left>
      <right/>
      <top style="medium">
        <color rgb="FF000000"/>
      </top>
      <bottom/>
      <diagonal/>
    </border>
    <border>
      <left style="thin">
        <color indexed="64"/>
      </left>
      <right/>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rgb="FF000000"/>
      </bottom>
      <diagonal/>
    </border>
    <border>
      <left/>
      <right style="thin">
        <color indexed="64"/>
      </right>
      <top style="medium">
        <color rgb="FF000000"/>
      </top>
      <bottom/>
      <diagonal/>
    </border>
    <border>
      <left/>
      <right style="thin">
        <color indexed="64"/>
      </right>
      <top/>
      <bottom style="medium">
        <color rgb="FF000000"/>
      </bottom>
      <diagonal/>
    </border>
    <border>
      <left style="thin">
        <color rgb="FF000000"/>
      </left>
      <right style="thin">
        <color rgb="FF000000"/>
      </right>
      <top style="medium">
        <color rgb="FF000000"/>
      </top>
      <bottom style="thin">
        <color indexed="64"/>
      </bottom>
      <diagonal/>
    </border>
    <border>
      <left style="thin">
        <color indexed="64"/>
      </left>
      <right/>
      <top style="medium">
        <color indexed="64"/>
      </top>
      <bottom style="medium">
        <color rgb="FF000000"/>
      </bottom>
      <diagonal/>
    </border>
    <border>
      <left style="medium">
        <color rgb="FF000000"/>
      </left>
      <right/>
      <top/>
      <bottom/>
      <diagonal/>
    </border>
    <border>
      <left style="thin">
        <color rgb="FF000000"/>
      </left>
      <right style="thin">
        <color rgb="FF000000"/>
      </right>
      <top style="medium">
        <color indexed="64"/>
      </top>
      <bottom/>
      <diagonal/>
    </border>
    <border>
      <left style="thin">
        <color indexed="64"/>
      </left>
      <right/>
      <top style="thin">
        <color indexed="64"/>
      </top>
      <bottom style="medium">
        <color rgb="FF000000"/>
      </bottom>
      <diagonal/>
    </border>
    <border>
      <left style="medium">
        <color rgb="FF000000"/>
      </left>
      <right/>
      <top style="thin">
        <color indexed="64"/>
      </top>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rgb="FF000000"/>
      </right>
      <top style="medium">
        <color rgb="FF000000"/>
      </top>
      <bottom/>
      <diagonal/>
    </border>
    <border>
      <left style="thin">
        <color indexed="64"/>
      </left>
      <right style="medium">
        <color indexed="64"/>
      </right>
      <top style="medium">
        <color rgb="FF000000"/>
      </top>
      <bottom/>
      <diagonal/>
    </border>
    <border>
      <left style="medium">
        <color indexed="64"/>
      </left>
      <right style="thin">
        <color rgb="FF000000"/>
      </right>
      <top/>
      <bottom style="medium">
        <color rgb="FF000000"/>
      </bottom>
      <diagonal/>
    </border>
    <border>
      <left style="medium">
        <color indexed="64"/>
      </left>
      <right style="thin">
        <color rgb="FF000000"/>
      </right>
      <top/>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indexed="64"/>
      </left>
      <right style="medium">
        <color indexed="64"/>
      </right>
      <top/>
      <bottom style="medium">
        <color rgb="FF000000"/>
      </bottom>
      <diagonal/>
    </border>
    <border>
      <left/>
      <right style="thin">
        <color rgb="FF000000"/>
      </right>
      <top style="medium">
        <color rgb="FF000000"/>
      </top>
      <bottom style="thin">
        <color rgb="FF000000"/>
      </bottom>
      <diagonal/>
    </border>
    <border>
      <left style="medium">
        <color indexed="64"/>
      </left>
      <right style="thin">
        <color indexed="64"/>
      </right>
      <top style="medium">
        <color rgb="FF000000"/>
      </top>
      <bottom/>
      <diagonal/>
    </border>
    <border>
      <left style="medium">
        <color indexed="64"/>
      </left>
      <right style="thin">
        <color indexed="64"/>
      </right>
      <top/>
      <bottom style="medium">
        <color rgb="FF000000"/>
      </bottom>
      <diagonal/>
    </border>
    <border>
      <left style="medium">
        <color indexed="64"/>
      </left>
      <right style="thin">
        <color indexed="64"/>
      </right>
      <top style="medium">
        <color rgb="FF000000"/>
      </top>
      <bottom style="thin">
        <color indexed="64"/>
      </bottom>
      <diagonal/>
    </border>
    <border>
      <left style="thin">
        <color rgb="FF000000"/>
      </left>
      <right style="thin">
        <color indexed="64"/>
      </right>
      <top style="medium">
        <color rgb="FF000000"/>
      </top>
      <bottom/>
      <diagonal/>
    </border>
    <border>
      <left style="thin">
        <color indexed="64"/>
      </left>
      <right/>
      <top style="medium">
        <color rgb="FF000000"/>
      </top>
      <bottom style="medium">
        <color indexed="64"/>
      </bottom>
      <diagonal/>
    </border>
    <border>
      <left style="thin">
        <color rgb="FF000000"/>
      </left>
      <right style="thin">
        <color indexed="64"/>
      </right>
      <top/>
      <bottom style="medium">
        <color rgb="FF000000"/>
      </bottom>
      <diagonal/>
    </border>
    <border>
      <left style="thin">
        <color indexed="64"/>
      </left>
      <right/>
      <top/>
      <bottom style="medium">
        <color indexed="64"/>
      </bottom>
      <diagonal/>
    </border>
    <border>
      <left style="thin">
        <color indexed="64"/>
      </left>
      <right style="thin">
        <color indexed="64"/>
      </right>
      <top style="medium">
        <color rgb="FF000000"/>
      </top>
      <bottom style="medium">
        <color indexed="64"/>
      </bottom>
      <diagonal/>
    </border>
    <border>
      <left style="medium">
        <color rgb="FF000000"/>
      </left>
      <right style="thin">
        <color indexed="64"/>
      </right>
      <top style="thin">
        <color indexed="64"/>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bottom/>
      <diagonal/>
    </border>
    <border>
      <left/>
      <right/>
      <top style="thin">
        <color indexed="64"/>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rgb="FF000000"/>
      </right>
      <top style="medium">
        <color rgb="FF000000"/>
      </top>
      <bottom/>
      <diagonal/>
    </border>
    <border>
      <left style="thin">
        <color indexed="64"/>
      </left>
      <right style="thin">
        <color rgb="FF000000"/>
      </right>
      <top/>
      <bottom style="medium">
        <color rgb="FF000000"/>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right style="medium">
        <color rgb="FF000000"/>
      </right>
      <top style="thin">
        <color indexed="64"/>
      </top>
      <bottom/>
      <diagonal/>
    </border>
    <border>
      <left/>
      <right style="medium">
        <color rgb="FF000000"/>
      </right>
      <top style="medium">
        <color rgb="FF000000"/>
      </top>
      <bottom style="thin">
        <color indexed="64"/>
      </bottom>
      <diagonal/>
    </border>
    <border>
      <left/>
      <right style="medium">
        <color rgb="FF000000"/>
      </right>
      <top style="thin">
        <color indexed="64"/>
      </top>
      <bottom style="medium">
        <color rgb="FF000000"/>
      </bottom>
      <diagonal/>
    </border>
    <border>
      <left style="medium">
        <color rgb="FF000000"/>
      </left>
      <right style="thin">
        <color rgb="FF000000"/>
      </right>
      <top/>
      <bottom/>
      <diagonal/>
    </border>
    <border>
      <left/>
      <right/>
      <top style="medium">
        <color rgb="FF000000"/>
      </top>
      <bottom style="thin">
        <color indexed="64"/>
      </bottom>
      <diagonal/>
    </border>
    <border>
      <left/>
      <right style="thin">
        <color rgb="FF000000"/>
      </right>
      <top style="thin">
        <color indexed="64"/>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right style="thin">
        <color rgb="FF000000"/>
      </right>
      <top style="medium">
        <color rgb="FF000000"/>
      </top>
      <bottom style="thin">
        <color indexed="64"/>
      </bottom>
      <diagonal/>
    </border>
    <border>
      <left style="medium">
        <color rgb="FF000000"/>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bottom style="thin">
        <color rgb="FF000000"/>
      </bottom>
      <diagonal/>
    </border>
    <border>
      <left style="thin">
        <color indexed="64"/>
      </left>
      <right style="thin">
        <color rgb="FF000000"/>
      </right>
      <top/>
      <bottom/>
      <diagonal/>
    </border>
    <border>
      <left style="thin">
        <color rgb="FF000000"/>
      </left>
      <right/>
      <top style="medium">
        <color rgb="FF000000"/>
      </top>
      <bottom style="medium">
        <color rgb="FF000000"/>
      </bottom>
      <diagonal/>
    </border>
    <border>
      <left style="medium">
        <color rgb="FF000000"/>
      </left>
      <right/>
      <top style="thin">
        <color rgb="FF000000"/>
      </top>
      <bottom/>
      <diagonal/>
    </border>
    <border>
      <left style="medium">
        <color rgb="FF000000"/>
      </left>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052">
    <xf numFmtId="0" fontId="0" fillId="0" borderId="0" xfId="0"/>
    <xf numFmtId="0" fontId="2"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2" fontId="2" fillId="0" borderId="0" xfId="0" applyNumberFormat="1" applyFont="1" applyAlignment="1" applyProtection="1">
      <alignment horizontal="left" vertical="top"/>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9" fontId="2" fillId="0" borderId="0" xfId="0" applyNumberFormat="1" applyFont="1" applyAlignment="1" applyProtection="1">
      <alignment horizontal="left" vertical="top"/>
      <protection locked="0"/>
    </xf>
    <xf numFmtId="0" fontId="2"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9" fillId="0" borderId="3" xfId="0" applyFont="1" applyBorder="1" applyAlignment="1">
      <alignment horizontal="left" wrapText="1"/>
    </xf>
    <xf numFmtId="0" fontId="10" fillId="0" borderId="3" xfId="0" applyFont="1" applyBorder="1" applyAlignment="1">
      <alignment horizontal="right" vertical="top" wrapText="1"/>
    </xf>
    <xf numFmtId="0" fontId="9" fillId="9" borderId="3" xfId="0" applyFont="1" applyFill="1" applyBorder="1" applyAlignment="1">
      <alignment horizontal="left" wrapText="1"/>
    </xf>
    <xf numFmtId="0" fontId="11" fillId="0" borderId="0" xfId="0" applyFont="1"/>
    <xf numFmtId="0" fontId="12" fillId="0" borderId="0" xfId="0" applyFont="1"/>
    <xf numFmtId="1" fontId="11" fillId="0" borderId="0" xfId="0" applyNumberFormat="1" applyFont="1" applyAlignment="1">
      <alignment vertical="center"/>
    </xf>
    <xf numFmtId="0" fontId="11" fillId="0" borderId="0" xfId="0" applyFont="1" applyAlignment="1">
      <alignment vertical="center"/>
    </xf>
    <xf numFmtId="164" fontId="11" fillId="0" borderId="0" xfId="0" applyNumberFormat="1" applyFont="1"/>
    <xf numFmtId="0" fontId="11" fillId="0" borderId="0" xfId="0" applyFont="1" applyAlignment="1">
      <alignment wrapText="1"/>
    </xf>
    <xf numFmtId="0" fontId="12" fillId="0" borderId="0" xfId="0" applyFont="1" applyAlignment="1">
      <alignment horizontal="center" vertical="center"/>
    </xf>
    <xf numFmtId="0" fontId="11" fillId="0" borderId="7" xfId="0" applyFont="1" applyBorder="1" applyAlignment="1">
      <alignment wrapText="1"/>
    </xf>
    <xf numFmtId="0" fontId="11" fillId="0" borderId="1" xfId="0" applyFont="1" applyBorder="1" applyAlignment="1">
      <alignment wrapText="1"/>
    </xf>
    <xf numFmtId="0" fontId="5" fillId="11" borderId="16" xfId="0" applyFont="1" applyFill="1" applyBorder="1" applyAlignment="1">
      <alignment horizontal="center" vertical="center"/>
    </xf>
    <xf numFmtId="0" fontId="5" fillId="11" borderId="17" xfId="0" applyFont="1" applyFill="1" applyBorder="1" applyAlignment="1">
      <alignment horizontal="center" vertical="center"/>
    </xf>
    <xf numFmtId="0" fontId="5" fillId="11" borderId="18" xfId="0" applyFont="1" applyFill="1" applyBorder="1" applyAlignment="1">
      <alignment horizontal="center" vertical="center"/>
    </xf>
    <xf numFmtId="0" fontId="14" fillId="0" borderId="0" xfId="0" applyFont="1"/>
    <xf numFmtId="0" fontId="17" fillId="0" borderId="0" xfId="0" applyFont="1" applyAlignment="1">
      <alignment horizontal="center" wrapText="1"/>
    </xf>
    <xf numFmtId="0" fontId="9" fillId="0" borderId="3" xfId="0" applyFont="1" applyBorder="1" applyAlignment="1" applyProtection="1">
      <alignment horizontal="left" wrapText="1"/>
      <protection locked="0"/>
    </xf>
    <xf numFmtId="0" fontId="9" fillId="9" borderId="3" xfId="0" applyFont="1" applyFill="1" applyBorder="1" applyAlignment="1" applyProtection="1">
      <alignment horizontal="left" wrapText="1"/>
      <protection locked="0"/>
    </xf>
    <xf numFmtId="0" fontId="11" fillId="0" borderId="0" xfId="0" applyFont="1" applyAlignment="1">
      <alignment horizontal="center" vertical="center"/>
    </xf>
    <xf numFmtId="9" fontId="18" fillId="0" borderId="28" xfId="1" applyFont="1" applyFill="1" applyBorder="1" applyAlignment="1">
      <alignment vertical="center"/>
    </xf>
    <xf numFmtId="9" fontId="15" fillId="9" borderId="29" xfId="0" applyNumberFormat="1" applyFont="1" applyFill="1" applyBorder="1" applyAlignment="1">
      <alignment vertical="center"/>
    </xf>
    <xf numFmtId="164" fontId="15" fillId="9" borderId="32" xfId="0" applyNumberFormat="1" applyFont="1" applyFill="1" applyBorder="1" applyAlignment="1">
      <alignment horizontal="center" vertical="center"/>
    </xf>
    <xf numFmtId="165" fontId="15" fillId="9" borderId="30" xfId="0" applyNumberFormat="1" applyFont="1" applyFill="1" applyBorder="1" applyAlignment="1">
      <alignment horizontal="center" vertical="center" wrapText="1"/>
    </xf>
    <xf numFmtId="0" fontId="15" fillId="9" borderId="30" xfId="0" applyFont="1" applyFill="1" applyBorder="1" applyAlignment="1">
      <alignment horizontal="center" vertical="center" wrapText="1"/>
    </xf>
    <xf numFmtId="0" fontId="12" fillId="0" borderId="31" xfId="0" applyFont="1" applyBorder="1" applyAlignment="1">
      <alignment horizontal="center" vertical="center"/>
    </xf>
    <xf numFmtId="164" fontId="18" fillId="0" borderId="9" xfId="0" applyNumberFormat="1" applyFont="1" applyBorder="1" applyAlignment="1">
      <alignment horizontal="center" vertical="center"/>
    </xf>
    <xf numFmtId="0" fontId="18" fillId="0" borderId="9" xfId="0" applyFont="1" applyBorder="1" applyAlignment="1">
      <alignment horizontal="left" vertical="top" wrapText="1"/>
    </xf>
    <xf numFmtId="164" fontId="18" fillId="0" borderId="3" xfId="0" applyNumberFormat="1" applyFont="1" applyBorder="1" applyAlignment="1">
      <alignment horizontal="center" vertical="center"/>
    </xf>
    <xf numFmtId="0" fontId="18" fillId="0" borderId="3" xfId="0" applyFont="1" applyBorder="1" applyAlignment="1">
      <alignment horizontal="left" vertical="top" wrapText="1"/>
    </xf>
    <xf numFmtId="164" fontId="18" fillId="0" borderId="37" xfId="0" applyNumberFormat="1" applyFont="1" applyBorder="1" applyAlignment="1">
      <alignment horizontal="center" vertical="center"/>
    </xf>
    <xf numFmtId="0" fontId="18" fillId="0" borderId="37" xfId="0" applyFont="1" applyBorder="1" applyAlignment="1">
      <alignment horizontal="left" vertical="top" wrapText="1"/>
    </xf>
    <xf numFmtId="164" fontId="18" fillId="0" borderId="14" xfId="0" applyNumberFormat="1" applyFont="1" applyBorder="1" applyAlignment="1">
      <alignment horizontal="center" vertical="center"/>
    </xf>
    <xf numFmtId="0" fontId="18" fillId="0" borderId="14" xfId="0" applyFont="1" applyBorder="1" applyAlignment="1">
      <alignment horizontal="left" vertical="top" wrapText="1"/>
    </xf>
    <xf numFmtId="16" fontId="18" fillId="0" borderId="37" xfId="0" applyNumberFormat="1" applyFont="1" applyBorder="1" applyAlignment="1">
      <alignment horizontal="left" vertical="top" wrapText="1"/>
    </xf>
    <xf numFmtId="16" fontId="18" fillId="0" borderId="3" xfId="0" applyNumberFormat="1" applyFont="1" applyBorder="1" applyAlignment="1">
      <alignment horizontal="left" vertical="top" wrapText="1"/>
    </xf>
    <xf numFmtId="0" fontId="20" fillId="0" borderId="0" xfId="0" applyFont="1" applyAlignment="1">
      <alignment horizontal="center" vertical="center"/>
    </xf>
    <xf numFmtId="0" fontId="12" fillId="9" borderId="8" xfId="0" applyFont="1" applyFill="1" applyBorder="1" applyAlignment="1">
      <alignment vertical="center"/>
    </xf>
    <xf numFmtId="49" fontId="24" fillId="9" borderId="9" xfId="0" applyNumberFormat="1" applyFont="1" applyFill="1" applyBorder="1" applyAlignment="1">
      <alignment vertical="center" textRotation="90" wrapText="1"/>
    </xf>
    <xf numFmtId="1" fontId="24" fillId="9" borderId="9" xfId="0" applyNumberFormat="1" applyFont="1" applyFill="1" applyBorder="1" applyAlignment="1">
      <alignment vertical="center" textRotation="90" wrapText="1"/>
    </xf>
    <xf numFmtId="49" fontId="12" fillId="9" borderId="9" xfId="0" applyNumberFormat="1" applyFont="1" applyFill="1" applyBorder="1" applyAlignment="1">
      <alignment horizontal="center" vertical="center" wrapText="1"/>
    </xf>
    <xf numFmtId="164" fontId="24" fillId="9" borderId="9" xfId="0" applyNumberFormat="1" applyFont="1" applyFill="1" applyBorder="1" applyAlignment="1">
      <alignment horizontal="center" vertical="center" textRotation="90" wrapText="1"/>
    </xf>
    <xf numFmtId="0" fontId="12" fillId="9" borderId="9" xfId="0" applyFont="1" applyFill="1" applyBorder="1" applyAlignment="1">
      <alignment vertical="center" wrapText="1"/>
    </xf>
    <xf numFmtId="0" fontId="12" fillId="9" borderId="20" xfId="0" applyFont="1" applyFill="1" applyBorder="1" applyAlignment="1">
      <alignment vertical="center" wrapText="1"/>
    </xf>
    <xf numFmtId="0" fontId="12" fillId="15" borderId="8" xfId="0" applyFont="1" applyFill="1" applyBorder="1" applyAlignment="1">
      <alignment vertical="center" wrapText="1"/>
    </xf>
    <xf numFmtId="0" fontId="12" fillId="15" borderId="44" xfId="0" applyFont="1" applyFill="1" applyBorder="1" applyAlignment="1">
      <alignment vertical="center" wrapText="1"/>
    </xf>
    <xf numFmtId="0" fontId="12" fillId="15" borderId="45" xfId="0" applyFont="1" applyFill="1" applyBorder="1" applyAlignment="1">
      <alignment vertical="center" wrapText="1"/>
    </xf>
    <xf numFmtId="0" fontId="12" fillId="16" borderId="38" xfId="0" applyFont="1" applyFill="1" applyBorder="1" applyAlignment="1">
      <alignment vertical="center" wrapText="1"/>
    </xf>
    <xf numFmtId="49" fontId="12" fillId="16" borderId="9" xfId="0" applyNumberFormat="1" applyFont="1" applyFill="1" applyBorder="1" applyAlignment="1">
      <alignment horizontal="left" vertical="center" wrapText="1"/>
    </xf>
    <xf numFmtId="0" fontId="12" fillId="12" borderId="46" xfId="0" applyFont="1" applyFill="1" applyBorder="1" applyAlignment="1">
      <alignment vertical="center"/>
    </xf>
    <xf numFmtId="0" fontId="12" fillId="12" borderId="47" xfId="0" applyFont="1" applyFill="1" applyBorder="1" applyAlignment="1">
      <alignment vertical="center"/>
    </xf>
    <xf numFmtId="0" fontId="12" fillId="12" borderId="48" xfId="0" applyFont="1" applyFill="1" applyBorder="1" applyAlignment="1">
      <alignment vertical="center"/>
    </xf>
    <xf numFmtId="0" fontId="12" fillId="12" borderId="47" xfId="0" applyFont="1" applyFill="1" applyBorder="1" applyAlignment="1">
      <alignment horizontal="center" vertical="center"/>
    </xf>
    <xf numFmtId="0" fontId="17" fillId="0" borderId="0" xfId="0" applyFont="1" applyAlignment="1">
      <alignment vertical="top" wrapText="1"/>
    </xf>
    <xf numFmtId="0" fontId="12" fillId="0" borderId="0" xfId="0" applyFont="1" applyAlignment="1">
      <alignment wrapText="1"/>
    </xf>
    <xf numFmtId="0" fontId="11" fillId="0" borderId="1" xfId="0" applyFont="1" applyBorder="1" applyAlignment="1">
      <alignment horizontal="center" vertical="center"/>
    </xf>
    <xf numFmtId="164" fontId="11" fillId="0" borderId="4" xfId="0" applyNumberFormat="1" applyFont="1" applyBorder="1"/>
    <xf numFmtId="0" fontId="12" fillId="9" borderId="39" xfId="0" applyFont="1" applyFill="1" applyBorder="1" applyAlignment="1">
      <alignment vertical="center" wrapText="1"/>
    </xf>
    <xf numFmtId="9" fontId="18" fillId="0" borderId="29" xfId="1" applyFont="1" applyFill="1" applyBorder="1" applyAlignment="1">
      <alignment vertical="center"/>
    </xf>
    <xf numFmtId="0" fontId="15" fillId="9" borderId="19" xfId="0" applyFont="1" applyFill="1" applyBorder="1" applyAlignment="1">
      <alignment horizontal="center" vertical="center" wrapText="1"/>
    </xf>
    <xf numFmtId="0" fontId="12" fillId="0" borderId="6" xfId="0" applyFont="1" applyBorder="1" applyAlignment="1">
      <alignment horizontal="center" vertical="center"/>
    </xf>
    <xf numFmtId="9" fontId="15" fillId="9" borderId="32" xfId="0" applyNumberFormat="1" applyFont="1" applyFill="1" applyBorder="1" applyAlignment="1">
      <alignment vertical="center"/>
    </xf>
    <xf numFmtId="165" fontId="15" fillId="9" borderId="5" xfId="0" applyNumberFormat="1" applyFont="1" applyFill="1" applyBorder="1" applyAlignment="1">
      <alignment horizontal="center" vertical="center" wrapText="1"/>
    </xf>
    <xf numFmtId="0" fontId="17" fillId="0" borderId="0" xfId="0" applyFont="1" applyAlignment="1">
      <alignment horizontal="righ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9" fontId="2" fillId="0" borderId="0" xfId="0" applyNumberFormat="1" applyFont="1" applyAlignment="1">
      <alignment horizontal="left" vertical="top" wrapText="1"/>
    </xf>
    <xf numFmtId="0" fontId="2" fillId="0" borderId="1" xfId="0" applyFont="1" applyBorder="1" applyAlignment="1" applyProtection="1">
      <alignment horizontal="left" vertical="top"/>
      <protection locked="0"/>
    </xf>
    <xf numFmtId="0" fontId="4" fillId="0" borderId="1" xfId="0" applyFont="1" applyBorder="1" applyAlignment="1" applyProtection="1">
      <alignment horizontal="left" vertical="center"/>
      <protection locked="0"/>
    </xf>
    <xf numFmtId="0" fontId="2" fillId="0" borderId="0" xfId="0" quotePrefix="1" applyFont="1" applyAlignment="1" applyProtection="1">
      <alignment horizontal="right" vertical="top"/>
      <protection locked="0"/>
    </xf>
    <xf numFmtId="0" fontId="3" fillId="8" borderId="3" xfId="0" applyFont="1" applyFill="1" applyBorder="1" applyAlignment="1" applyProtection="1">
      <alignment horizontal="left" vertical="top" wrapText="1"/>
      <protection locked="0"/>
    </xf>
    <xf numFmtId="0" fontId="2" fillId="7" borderId="3"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quotePrefix="1" applyFont="1" applyAlignment="1" applyProtection="1">
      <alignment horizontal="right" vertical="center"/>
      <protection locked="0"/>
    </xf>
    <xf numFmtId="0" fontId="0" fillId="0" borderId="12" xfId="0" applyBorder="1"/>
    <xf numFmtId="0" fontId="0" fillId="0" borderId="11" xfId="0" applyBorder="1"/>
    <xf numFmtId="0" fontId="0" fillId="0" borderId="10" xfId="0" applyBorder="1"/>
    <xf numFmtId="0" fontId="0" fillId="0" borderId="8" xfId="0" applyBorder="1"/>
    <xf numFmtId="0" fontId="0" fillId="0" borderId="15" xfId="0" applyBorder="1"/>
    <xf numFmtId="0" fontId="0" fillId="0" borderId="13" xfId="0" applyBorder="1"/>
    <xf numFmtId="0" fontId="0" fillId="0" borderId="0" xfId="0" applyAlignment="1" applyProtection="1">
      <alignment vertical="top" wrapText="1"/>
      <protection locked="0"/>
    </xf>
    <xf numFmtId="0" fontId="2" fillId="10" borderId="3" xfId="0" applyFont="1" applyFill="1" applyBorder="1" applyAlignment="1" applyProtection="1">
      <alignment horizontal="left" vertical="top" wrapText="1"/>
      <protection locked="0"/>
    </xf>
    <xf numFmtId="0" fontId="2" fillId="17" borderId="0" xfId="0" applyFont="1" applyFill="1" applyAlignment="1" applyProtection="1">
      <alignment horizontal="left" vertical="top"/>
      <protection locked="0"/>
    </xf>
    <xf numFmtId="0" fontId="27" fillId="0" borderId="0" xfId="0" applyFont="1" applyAlignment="1">
      <alignment wrapText="1"/>
    </xf>
    <xf numFmtId="0" fontId="10" fillId="0" borderId="0" xfId="0" applyFont="1" applyAlignment="1">
      <alignment horizontal="right" vertical="top" wrapText="1"/>
    </xf>
    <xf numFmtId="0" fontId="9" fillId="0" borderId="0" xfId="0" applyFont="1" applyAlignment="1">
      <alignment horizontal="left" wrapText="1"/>
    </xf>
    <xf numFmtId="0" fontId="12" fillId="0" borderId="0" xfId="0" applyFont="1" applyAlignment="1">
      <alignment vertical="center" wrapText="1"/>
    </xf>
    <xf numFmtId="0" fontId="30" fillId="0" borderId="0" xfId="0" applyFont="1" applyAlignment="1">
      <alignment wrapText="1"/>
    </xf>
    <xf numFmtId="0" fontId="11" fillId="18" borderId="0" xfId="0" applyFont="1" applyFill="1" applyAlignment="1">
      <alignment vertical="center" wrapText="1"/>
    </xf>
    <xf numFmtId="0" fontId="28" fillId="18" borderId="0" xfId="0" applyFont="1" applyFill="1" applyAlignment="1">
      <alignment vertical="center" wrapText="1"/>
    </xf>
    <xf numFmtId="0" fontId="14" fillId="18" borderId="0" xfId="0" applyFont="1" applyFill="1" applyAlignment="1">
      <alignment vertical="center" wrapText="1"/>
    </xf>
    <xf numFmtId="0" fontId="17" fillId="0" borderId="0" xfId="0" applyFont="1" applyAlignment="1">
      <alignment horizontal="left" vertical="top" wrapText="1"/>
    </xf>
    <xf numFmtId="0" fontId="13" fillId="0" borderId="0" xfId="0" applyFont="1" applyAlignment="1">
      <alignment horizontal="left" vertical="top" wrapText="1"/>
    </xf>
    <xf numFmtId="0" fontId="33" fillId="0" borderId="0" xfId="0" applyFont="1"/>
    <xf numFmtId="0" fontId="33" fillId="0" borderId="30" xfId="0" applyFont="1" applyBorder="1"/>
    <xf numFmtId="9" fontId="18" fillId="0" borderId="37" xfId="0" applyNumberFormat="1" applyFont="1" applyBorder="1" applyAlignment="1">
      <alignment horizontal="left" vertical="top" wrapText="1"/>
    </xf>
    <xf numFmtId="164" fontId="18" fillId="0" borderId="59" xfId="0" applyNumberFormat="1" applyFont="1" applyBorder="1" applyAlignment="1">
      <alignment horizontal="center" vertical="center"/>
    </xf>
    <xf numFmtId="164" fontId="18" fillId="0" borderId="60" xfId="0" applyNumberFormat="1" applyFont="1" applyBorder="1" applyAlignment="1">
      <alignment horizontal="center" vertical="center"/>
    </xf>
    <xf numFmtId="0" fontId="18" fillId="0" borderId="66" xfId="0" applyFont="1" applyBorder="1" applyAlignment="1">
      <alignment horizontal="left" vertical="top" wrapText="1"/>
    </xf>
    <xf numFmtId="0" fontId="18" fillId="0" borderId="67" xfId="0" applyFont="1" applyBorder="1" applyAlignment="1">
      <alignment horizontal="left" vertical="top" wrapText="1"/>
    </xf>
    <xf numFmtId="0" fontId="18" fillId="0" borderId="24" xfId="0" applyFont="1" applyBorder="1" applyAlignment="1">
      <alignment horizontal="left" vertical="top" wrapText="1"/>
    </xf>
    <xf numFmtId="0" fontId="18" fillId="0" borderId="71" xfId="0" applyFont="1" applyBorder="1" applyAlignment="1">
      <alignment horizontal="left" vertical="top" wrapText="1"/>
    </xf>
    <xf numFmtId="164" fontId="18" fillId="0" borderId="61" xfId="0" applyNumberFormat="1" applyFont="1" applyBorder="1" applyAlignment="1">
      <alignment horizontal="center" vertical="center"/>
    </xf>
    <xf numFmtId="0" fontId="18" fillId="0" borderId="34" xfId="0" applyFont="1" applyBorder="1" applyAlignment="1">
      <alignment wrapText="1"/>
    </xf>
    <xf numFmtId="0" fontId="18" fillId="0" borderId="14" xfId="0" applyFont="1" applyBorder="1" applyAlignment="1">
      <alignment wrapText="1"/>
    </xf>
    <xf numFmtId="0" fontId="18" fillId="0" borderId="3" xfId="0" applyFont="1" applyBorder="1" applyAlignment="1">
      <alignment wrapText="1"/>
    </xf>
    <xf numFmtId="9" fontId="18" fillId="0" borderId="14" xfId="0" applyNumberFormat="1" applyFont="1" applyBorder="1" applyAlignment="1">
      <alignment horizontal="center" vertical="center"/>
    </xf>
    <xf numFmtId="0" fontId="15" fillId="0" borderId="30" xfId="0" applyFont="1" applyBorder="1" applyAlignment="1">
      <alignment horizontal="center" vertical="center"/>
    </xf>
    <xf numFmtId="0" fontId="12" fillId="0" borderId="30" xfId="0" applyFont="1" applyBorder="1" applyAlignment="1">
      <alignment horizontal="center" vertical="center"/>
    </xf>
    <xf numFmtId="0" fontId="18" fillId="0" borderId="39" xfId="0" applyFont="1" applyBorder="1" applyAlignment="1">
      <alignment horizontal="left" vertical="top" wrapText="1"/>
    </xf>
    <xf numFmtId="164" fontId="24" fillId="9" borderId="37" xfId="0" applyNumberFormat="1" applyFont="1" applyFill="1" applyBorder="1" applyAlignment="1">
      <alignment horizontal="center" vertical="center" textRotation="90" wrapText="1"/>
    </xf>
    <xf numFmtId="0" fontId="12" fillId="15" borderId="56" xfId="0" applyFont="1" applyFill="1" applyBorder="1" applyAlignment="1">
      <alignment vertical="center" wrapText="1"/>
    </xf>
    <xf numFmtId="0" fontId="18" fillId="0" borderId="21" xfId="0" applyFont="1" applyBorder="1" applyAlignment="1">
      <alignment horizontal="left" vertical="top" wrapText="1"/>
    </xf>
    <xf numFmtId="0" fontId="12" fillId="16" borderId="52" xfId="0" applyFont="1" applyFill="1" applyBorder="1" applyAlignment="1">
      <alignment vertical="center" wrapText="1"/>
    </xf>
    <xf numFmtId="0" fontId="16" fillId="0" borderId="12" xfId="0" applyFont="1" applyBorder="1" applyAlignment="1">
      <alignment horizontal="left" vertical="top" wrapText="1"/>
    </xf>
    <xf numFmtId="9" fontId="18" fillId="0" borderId="37" xfId="0" applyNumberFormat="1" applyFont="1" applyBorder="1" applyAlignment="1">
      <alignment horizontal="center" vertical="center"/>
    </xf>
    <xf numFmtId="0" fontId="18" fillId="0" borderId="59" xfId="0" applyFont="1" applyBorder="1" applyAlignment="1">
      <alignment wrapText="1"/>
    </xf>
    <xf numFmtId="0" fontId="35" fillId="10" borderId="3" xfId="0" applyFont="1" applyFill="1" applyBorder="1" applyAlignment="1">
      <alignment vertical="center"/>
    </xf>
    <xf numFmtId="0" fontId="35" fillId="10" borderId="3" xfId="0" applyFont="1" applyFill="1" applyBorder="1" applyAlignment="1">
      <alignment vertical="center" wrapText="1"/>
    </xf>
    <xf numFmtId="9" fontId="18" fillId="0" borderId="59" xfId="0" applyNumberFormat="1" applyFont="1" applyBorder="1" applyAlignment="1">
      <alignment horizontal="center" vertical="center"/>
    </xf>
    <xf numFmtId="0" fontId="18" fillId="0" borderId="59" xfId="0" applyFont="1" applyBorder="1" applyAlignment="1">
      <alignment vertical="top" wrapText="1"/>
    </xf>
    <xf numFmtId="0" fontId="18" fillId="0" borderId="60" xfId="0" applyFont="1" applyBorder="1" applyAlignment="1">
      <alignment vertical="top" wrapText="1"/>
    </xf>
    <xf numFmtId="0" fontId="35" fillId="0" borderId="0" xfId="0" applyFont="1" applyAlignment="1">
      <alignment wrapText="1"/>
    </xf>
    <xf numFmtId="0" fontId="18" fillId="0" borderId="21" xfId="0" applyFont="1" applyBorder="1" applyAlignment="1">
      <alignment wrapText="1"/>
    </xf>
    <xf numFmtId="164" fontId="18" fillId="0" borderId="44" xfId="0" applyNumberFormat="1" applyFont="1" applyBorder="1" applyAlignment="1">
      <alignment horizontal="center" vertical="center"/>
    </xf>
    <xf numFmtId="0" fontId="18" fillId="0" borderId="21" xfId="0" applyFont="1" applyBorder="1" applyAlignment="1">
      <alignment vertical="center" wrapText="1"/>
    </xf>
    <xf numFmtId="10" fontId="18" fillId="0" borderId="21" xfId="1" applyNumberFormat="1" applyFont="1" applyBorder="1" applyAlignment="1">
      <alignment vertical="center"/>
    </xf>
    <xf numFmtId="0" fontId="18" fillId="0" borderId="3" xfId="0" applyFont="1" applyBorder="1" applyAlignment="1">
      <alignment horizontal="left" vertical="center" wrapText="1"/>
    </xf>
    <xf numFmtId="0" fontId="18" fillId="0" borderId="9" xfId="0" applyFont="1" applyBorder="1" applyAlignment="1">
      <alignment horizontal="left" vertical="center" wrapText="1"/>
    </xf>
    <xf numFmtId="0" fontId="18" fillId="0" borderId="14" xfId="0" applyFont="1" applyBorder="1" applyAlignment="1">
      <alignment horizontal="left" vertical="center" wrapText="1"/>
    </xf>
    <xf numFmtId="9" fontId="18" fillId="0" borderId="52" xfId="0" applyNumberFormat="1" applyFont="1" applyBorder="1" applyAlignment="1">
      <alignment horizontal="center" vertical="center"/>
    </xf>
    <xf numFmtId="0" fontId="18" fillId="0" borderId="66" xfId="0" applyFont="1" applyBorder="1" applyAlignment="1">
      <alignment vertical="top" wrapText="1"/>
    </xf>
    <xf numFmtId="0" fontId="18" fillId="0" borderId="67" xfId="0" applyFont="1" applyBorder="1" applyAlignment="1">
      <alignment vertical="top" wrapText="1"/>
    </xf>
    <xf numFmtId="0" fontId="18" fillId="0" borderId="0" xfId="0" applyFont="1" applyAlignment="1">
      <alignment horizontal="left" vertical="top" wrapText="1"/>
    </xf>
    <xf numFmtId="0" fontId="18" fillId="0" borderId="80" xfId="0" applyFont="1" applyBorder="1" applyAlignment="1">
      <alignment horizontal="left" vertical="top" wrapText="1"/>
    </xf>
    <xf numFmtId="165" fontId="15" fillId="9" borderId="17" xfId="0" applyNumberFormat="1" applyFont="1" applyFill="1" applyBorder="1" applyAlignment="1">
      <alignment horizontal="center" vertical="center" wrapText="1"/>
    </xf>
    <xf numFmtId="0" fontId="12" fillId="0" borderId="18" xfId="0" applyFont="1" applyBorder="1" applyAlignment="1">
      <alignment horizontal="center" vertical="center"/>
    </xf>
    <xf numFmtId="0" fontId="15" fillId="9" borderId="17" xfId="0" applyFont="1" applyFill="1" applyBorder="1" applyAlignment="1">
      <alignment horizontal="center" vertical="center" wrapText="1"/>
    </xf>
    <xf numFmtId="164" fontId="15" fillId="9" borderId="17" xfId="0" applyNumberFormat="1" applyFont="1" applyFill="1" applyBorder="1" applyAlignment="1">
      <alignment horizontal="center" vertical="center"/>
    </xf>
    <xf numFmtId="9" fontId="15" fillId="9" borderId="17" xfId="0" applyNumberFormat="1" applyFont="1" applyFill="1" applyBorder="1" applyAlignment="1">
      <alignment vertical="center"/>
    </xf>
    <xf numFmtId="9" fontId="18" fillId="0" borderId="16" xfId="1" applyFont="1" applyFill="1" applyBorder="1" applyAlignment="1">
      <alignment vertical="center"/>
    </xf>
    <xf numFmtId="0" fontId="12" fillId="12" borderId="43" xfId="0" applyFont="1" applyFill="1" applyBorder="1" applyAlignment="1">
      <alignment horizontal="center" vertical="center"/>
    </xf>
    <xf numFmtId="0" fontId="12" fillId="12" borderId="42" xfId="0" applyFont="1" applyFill="1" applyBorder="1" applyAlignment="1">
      <alignment horizontal="center" vertical="center"/>
    </xf>
    <xf numFmtId="0" fontId="12" fillId="12" borderId="42" xfId="0" applyFont="1" applyFill="1" applyBorder="1" applyAlignment="1">
      <alignment vertical="center"/>
    </xf>
    <xf numFmtId="0" fontId="12" fillId="12" borderId="27" xfId="0" applyFont="1" applyFill="1" applyBorder="1" applyAlignment="1">
      <alignment vertical="center"/>
    </xf>
    <xf numFmtId="0" fontId="16" fillId="0" borderId="40" xfId="0" applyFont="1" applyBorder="1" applyAlignment="1">
      <alignment horizontal="left" vertical="top" wrapText="1"/>
    </xf>
    <xf numFmtId="0" fontId="18" fillId="0" borderId="34" xfId="0" applyFont="1" applyBorder="1" applyAlignment="1">
      <alignment horizontal="left" vertical="top" wrapText="1"/>
    </xf>
    <xf numFmtId="164" fontId="18" fillId="0" borderId="34" xfId="0" applyNumberFormat="1" applyFont="1" applyBorder="1" applyAlignment="1">
      <alignment horizontal="center" vertical="center"/>
    </xf>
    <xf numFmtId="9" fontId="18" fillId="0" borderId="60" xfId="0" applyNumberFormat="1" applyFont="1" applyBorder="1" applyAlignment="1">
      <alignment horizontal="center" vertical="center"/>
    </xf>
    <xf numFmtId="0" fontId="18" fillId="0" borderId="37" xfId="0" applyFont="1" applyBorder="1" applyAlignment="1">
      <alignment horizontal="left" vertical="center" wrapText="1"/>
    </xf>
    <xf numFmtId="164" fontId="18" fillId="0" borderId="77" xfId="0" applyNumberFormat="1"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pplyProtection="1">
      <alignment horizontal="center" vertical="center" wrapText="1"/>
      <protection locked="0" hidden="1"/>
    </xf>
    <xf numFmtId="165" fontId="19" fillId="0" borderId="0" xfId="0" applyNumberFormat="1" applyFont="1" applyAlignment="1" applyProtection="1">
      <alignment horizontal="center" vertical="center" wrapText="1"/>
      <protection hidden="1"/>
    </xf>
    <xf numFmtId="164" fontId="18" fillId="0" borderId="0" xfId="0" applyNumberFormat="1" applyFont="1" applyAlignment="1">
      <alignment horizontal="center" vertical="center"/>
    </xf>
    <xf numFmtId="164" fontId="18" fillId="0" borderId="52" xfId="0" applyNumberFormat="1" applyFont="1" applyBorder="1" applyAlignment="1">
      <alignment horizontal="center" vertical="center"/>
    </xf>
    <xf numFmtId="164" fontId="15" fillId="9" borderId="28" xfId="0" applyNumberFormat="1" applyFont="1" applyFill="1" applyBorder="1" applyAlignment="1">
      <alignment horizontal="center" vertical="center"/>
    </xf>
    <xf numFmtId="9" fontId="15" fillId="9" borderId="28" xfId="0" applyNumberFormat="1" applyFont="1" applyFill="1" applyBorder="1" applyAlignment="1">
      <alignment vertical="center"/>
    </xf>
    <xf numFmtId="0" fontId="12" fillId="12" borderId="85" xfId="0" applyFont="1" applyFill="1" applyBorder="1" applyAlignment="1">
      <alignment vertical="center"/>
    </xf>
    <xf numFmtId="0" fontId="12" fillId="15" borderId="52" xfId="0" applyFont="1" applyFill="1" applyBorder="1" applyAlignment="1">
      <alignment vertical="center" wrapText="1"/>
    </xf>
    <xf numFmtId="0" fontId="12" fillId="15" borderId="38" xfId="0" applyFont="1" applyFill="1" applyBorder="1" applyAlignment="1">
      <alignment vertical="center" wrapText="1"/>
    </xf>
    <xf numFmtId="164" fontId="18" fillId="0" borderId="140" xfId="0" applyNumberFormat="1" applyFont="1" applyBorder="1" applyAlignment="1">
      <alignment horizontal="center" vertical="center"/>
    </xf>
    <xf numFmtId="0" fontId="18" fillId="10" borderId="140" xfId="0" applyFont="1" applyFill="1" applyBorder="1" applyAlignment="1">
      <alignment horizontal="left" vertical="top" wrapText="1"/>
    </xf>
    <xf numFmtId="164" fontId="18" fillId="0" borderId="142" xfId="0" applyNumberFormat="1" applyFont="1" applyBorder="1" applyAlignment="1">
      <alignment horizontal="center" vertical="center"/>
    </xf>
    <xf numFmtId="0" fontId="18" fillId="10" borderId="141" xfId="0" applyFont="1" applyFill="1" applyBorder="1" applyAlignment="1">
      <alignment horizontal="left" vertical="top" wrapText="1"/>
    </xf>
    <xf numFmtId="9" fontId="18" fillId="0" borderId="142" xfId="0" applyNumberFormat="1" applyFont="1" applyBorder="1" applyAlignment="1">
      <alignment horizontal="center" vertical="center"/>
    </xf>
    <xf numFmtId="0" fontId="12" fillId="9" borderId="37" xfId="0" applyFont="1" applyFill="1" applyBorder="1" applyAlignment="1">
      <alignment vertical="center" wrapText="1"/>
    </xf>
    <xf numFmtId="49" fontId="12" fillId="9" borderId="37" xfId="0" applyNumberFormat="1" applyFont="1" applyFill="1" applyBorder="1" applyAlignment="1">
      <alignment horizontal="center" vertical="center" wrapText="1"/>
    </xf>
    <xf numFmtId="1" fontId="24" fillId="9" borderId="37" xfId="0" applyNumberFormat="1" applyFont="1" applyFill="1" applyBorder="1" applyAlignment="1">
      <alignment vertical="center" textRotation="90" wrapText="1"/>
    </xf>
    <xf numFmtId="49" fontId="24" fillId="9" borderId="37" xfId="0" applyNumberFormat="1" applyFont="1" applyFill="1" applyBorder="1" applyAlignment="1">
      <alignment vertical="center" textRotation="90" wrapText="1"/>
    </xf>
    <xf numFmtId="0" fontId="12" fillId="9" borderId="38" xfId="0" applyFont="1" applyFill="1" applyBorder="1" applyAlignment="1">
      <alignment vertical="center"/>
    </xf>
    <xf numFmtId="0" fontId="18" fillId="10" borderId="34" xfId="0" applyFont="1" applyFill="1" applyBorder="1" applyAlignment="1">
      <alignment horizontal="left" vertical="top" wrapText="1"/>
    </xf>
    <xf numFmtId="49" fontId="12" fillId="16" borderId="37" xfId="0" applyNumberFormat="1" applyFont="1" applyFill="1" applyBorder="1" applyAlignment="1">
      <alignment horizontal="left" vertical="center" wrapText="1"/>
    </xf>
    <xf numFmtId="0" fontId="18" fillId="0" borderId="140" xfId="0" applyFont="1" applyBorder="1" applyAlignment="1">
      <alignment horizontal="left" vertical="top" wrapText="1"/>
    </xf>
    <xf numFmtId="0" fontId="18" fillId="0" borderId="141" xfId="0" applyFont="1" applyBorder="1" applyAlignment="1">
      <alignment horizontal="left" vertical="top" wrapText="1"/>
    </xf>
    <xf numFmtId="0" fontId="35" fillId="0" borderId="34" xfId="0" applyFont="1" applyBorder="1" applyAlignment="1">
      <alignment horizontal="left" vertical="top" wrapText="1"/>
    </xf>
    <xf numFmtId="0" fontId="18" fillId="0" borderId="157" xfId="0" applyFont="1" applyBorder="1" applyAlignment="1">
      <alignment horizontal="left" vertical="top" wrapText="1"/>
    </xf>
    <xf numFmtId="0" fontId="18" fillId="0" borderId="140" xfId="0" applyFont="1" applyBorder="1" applyAlignment="1">
      <alignment horizontal="left" vertical="center" wrapText="1"/>
    </xf>
    <xf numFmtId="0" fontId="18" fillId="0" borderId="159" xfId="0" applyFont="1" applyBorder="1" applyAlignment="1">
      <alignment horizontal="left" vertical="top" wrapText="1"/>
    </xf>
    <xf numFmtId="0" fontId="18" fillId="0" borderId="142" xfId="0" applyFont="1" applyBorder="1" applyAlignment="1">
      <alignment horizontal="left" vertical="center" wrapText="1"/>
    </xf>
    <xf numFmtId="49" fontId="12" fillId="16" borderId="81" xfId="0" applyNumberFormat="1" applyFont="1" applyFill="1" applyBorder="1" applyAlignment="1">
      <alignment horizontal="left" vertical="center" wrapText="1"/>
    </xf>
    <xf numFmtId="0" fontId="12" fillId="16" borderId="27" xfId="0" applyFont="1" applyFill="1" applyBorder="1" applyAlignment="1">
      <alignment vertical="center" wrapText="1"/>
    </xf>
    <xf numFmtId="0" fontId="12" fillId="15" borderId="43" xfId="0" applyFont="1" applyFill="1" applyBorder="1" applyAlignment="1">
      <alignment vertical="center" wrapText="1"/>
    </xf>
    <xf numFmtId="0" fontId="12" fillId="15" borderId="42" xfId="0" applyFont="1" applyFill="1" applyBorder="1" applyAlignment="1">
      <alignment vertical="center" wrapText="1"/>
    </xf>
    <xf numFmtId="0" fontId="12" fillId="15" borderId="27" xfId="0" applyFont="1" applyFill="1" applyBorder="1" applyAlignment="1">
      <alignment vertical="center" wrapText="1"/>
    </xf>
    <xf numFmtId="0" fontId="12" fillId="9" borderId="43" xfId="0" applyFont="1" applyFill="1" applyBorder="1" applyAlignment="1">
      <alignment vertical="center" wrapText="1"/>
    </xf>
    <xf numFmtId="0" fontId="12" fillId="9" borderId="42" xfId="0" applyFont="1" applyFill="1" applyBorder="1" applyAlignment="1">
      <alignment vertical="center" wrapText="1"/>
    </xf>
    <xf numFmtId="164" fontId="24" fillId="9" borderId="42" xfId="0" applyNumberFormat="1" applyFont="1" applyFill="1" applyBorder="1" applyAlignment="1">
      <alignment horizontal="center" vertical="center" textRotation="90" wrapText="1"/>
    </xf>
    <xf numFmtId="49" fontId="12" fillId="9" borderId="42" xfId="0" applyNumberFormat="1" applyFont="1" applyFill="1" applyBorder="1" applyAlignment="1">
      <alignment horizontal="center" vertical="center" wrapText="1"/>
    </xf>
    <xf numFmtId="1" fontId="24" fillId="9" borderId="42" xfId="0" applyNumberFormat="1" applyFont="1" applyFill="1" applyBorder="1" applyAlignment="1">
      <alignment vertical="center" textRotation="90" wrapText="1"/>
    </xf>
    <xf numFmtId="49" fontId="24" fillId="9" borderId="42" xfId="0" applyNumberFormat="1" applyFont="1" applyFill="1" applyBorder="1" applyAlignment="1">
      <alignment vertical="center" textRotation="90" wrapText="1"/>
    </xf>
    <xf numFmtId="0" fontId="12" fillId="9" borderId="27" xfId="0" applyFont="1" applyFill="1" applyBorder="1" applyAlignment="1">
      <alignment vertical="center"/>
    </xf>
    <xf numFmtId="0" fontId="18" fillId="0" borderId="142" xfId="0" applyFont="1" applyBorder="1" applyAlignment="1">
      <alignment horizontal="left" vertical="top" wrapText="1"/>
    </xf>
    <xf numFmtId="9" fontId="18" fillId="0" borderId="139" xfId="0" applyNumberFormat="1" applyFont="1" applyBorder="1" applyAlignment="1">
      <alignment horizontal="center" vertical="center"/>
    </xf>
    <xf numFmtId="0" fontId="18" fillId="0" borderId="169" xfId="0" applyFont="1" applyBorder="1" applyAlignment="1">
      <alignment horizontal="left" vertical="top" wrapText="1"/>
    </xf>
    <xf numFmtId="0" fontId="18" fillId="0" borderId="134" xfId="0" applyFont="1" applyBorder="1" applyAlignment="1">
      <alignment horizontal="left" vertical="top" wrapText="1"/>
    </xf>
    <xf numFmtId="9" fontId="18" fillId="0" borderId="141" xfId="0" applyNumberFormat="1" applyFont="1" applyBorder="1" applyAlignment="1">
      <alignment horizontal="center" vertical="center"/>
    </xf>
    <xf numFmtId="0" fontId="18" fillId="0" borderId="97" xfId="0" applyFont="1" applyBorder="1" applyAlignment="1">
      <alignment vertical="center" wrapText="1"/>
    </xf>
    <xf numFmtId="0" fontId="18" fillId="0" borderId="140" xfId="0" applyFont="1" applyBorder="1" applyAlignment="1">
      <alignment wrapText="1"/>
    </xf>
    <xf numFmtId="0" fontId="18" fillId="0" borderId="141" xfId="0" applyFont="1" applyBorder="1" applyAlignment="1">
      <alignment wrapText="1"/>
    </xf>
    <xf numFmtId="0" fontId="18" fillId="0" borderId="37" xfId="0" applyFont="1" applyBorder="1" applyAlignment="1">
      <alignment wrapText="1"/>
    </xf>
    <xf numFmtId="0" fontId="16" fillId="0" borderId="172" xfId="0" applyFont="1" applyBorder="1" applyAlignment="1">
      <alignment horizontal="left" vertical="top" wrapText="1"/>
    </xf>
    <xf numFmtId="16" fontId="18" fillId="0" borderId="142" xfId="0" applyNumberFormat="1" applyFont="1" applyBorder="1" applyAlignment="1">
      <alignment horizontal="left" vertical="top" wrapText="1"/>
    </xf>
    <xf numFmtId="0" fontId="35" fillId="10" borderId="140" xfId="0" applyFont="1" applyFill="1" applyBorder="1" applyAlignment="1">
      <alignment vertical="center" wrapText="1"/>
    </xf>
    <xf numFmtId="164" fontId="18" fillId="0" borderId="174" xfId="0" applyNumberFormat="1" applyFont="1" applyBorder="1" applyAlignment="1">
      <alignment horizontal="center" vertical="center"/>
    </xf>
    <xf numFmtId="9" fontId="18" fillId="0" borderId="87" xfId="0" applyNumberFormat="1" applyFont="1" applyBorder="1" applyAlignment="1">
      <alignment horizontal="center" vertical="center"/>
    </xf>
    <xf numFmtId="164" fontId="18" fillId="0" borderId="155" xfId="0" applyNumberFormat="1" applyFont="1" applyBorder="1" applyAlignment="1">
      <alignment horizontal="center" vertical="center"/>
    </xf>
    <xf numFmtId="9" fontId="18" fillId="0" borderId="84" xfId="0" applyNumberFormat="1" applyFont="1" applyBorder="1" applyAlignment="1">
      <alignment horizontal="center" vertical="center"/>
    </xf>
    <xf numFmtId="0" fontId="35" fillId="10" borderId="14" xfId="0" applyFont="1" applyFill="1" applyBorder="1" applyAlignment="1">
      <alignment vertical="center" wrapText="1"/>
    </xf>
    <xf numFmtId="164" fontId="18" fillId="0" borderId="176" xfId="0" applyNumberFormat="1" applyFont="1" applyBorder="1" applyAlignment="1">
      <alignment horizontal="center" vertical="center"/>
    </xf>
    <xf numFmtId="9" fontId="18" fillId="0" borderId="77" xfId="0" applyNumberFormat="1" applyFont="1" applyBorder="1" applyAlignment="1">
      <alignment horizontal="center" vertical="center"/>
    </xf>
    <xf numFmtId="0" fontId="35" fillId="10" borderId="142" xfId="0" applyFont="1" applyFill="1" applyBorder="1" applyAlignment="1">
      <alignment vertical="center"/>
    </xf>
    <xf numFmtId="0" fontId="35" fillId="10" borderId="37" xfId="0" applyFont="1" applyFill="1" applyBorder="1" applyAlignment="1">
      <alignment vertical="center" wrapText="1"/>
    </xf>
    <xf numFmtId="0" fontId="35" fillId="10" borderId="14" xfId="0" applyFont="1" applyFill="1" applyBorder="1" applyAlignment="1">
      <alignment vertical="center"/>
    </xf>
    <xf numFmtId="0" fontId="18" fillId="0" borderId="157" xfId="0" applyFont="1" applyBorder="1" applyAlignment="1">
      <alignment wrapText="1"/>
    </xf>
    <xf numFmtId="164" fontId="18" fillId="0" borderId="177" xfId="0" applyNumberFormat="1" applyFont="1" applyBorder="1" applyAlignment="1">
      <alignment horizontal="center" vertical="center"/>
    </xf>
    <xf numFmtId="0" fontId="18" fillId="10" borderId="150" xfId="0" applyFont="1" applyFill="1" applyBorder="1" applyAlignment="1">
      <alignment wrapText="1"/>
    </xf>
    <xf numFmtId="0" fontId="18" fillId="0" borderId="157" xfId="0" applyFont="1" applyBorder="1" applyAlignment="1">
      <alignment vertical="center" wrapText="1"/>
    </xf>
    <xf numFmtId="10" fontId="18" fillId="0" borderId="157" xfId="0" applyNumberFormat="1" applyFont="1" applyBorder="1" applyAlignment="1">
      <alignment vertical="center"/>
    </xf>
    <xf numFmtId="164" fontId="24" fillId="9" borderId="54" xfId="0" applyNumberFormat="1" applyFont="1" applyFill="1" applyBorder="1" applyAlignment="1">
      <alignment horizontal="center" vertical="center" textRotation="90" wrapText="1"/>
    </xf>
    <xf numFmtId="0" fontId="18" fillId="0" borderId="93" xfId="0" applyFont="1" applyBorder="1" applyAlignment="1">
      <alignment vertical="center" wrapText="1"/>
    </xf>
    <xf numFmtId="164" fontId="18" fillId="0" borderId="84" xfId="0" applyNumberFormat="1" applyFont="1" applyBorder="1" applyAlignment="1">
      <alignment horizontal="center" vertical="center"/>
    </xf>
    <xf numFmtId="0" fontId="18" fillId="0" borderId="35" xfId="0" applyFont="1" applyBorder="1" applyAlignment="1">
      <alignment vertical="center" wrapText="1"/>
    </xf>
    <xf numFmtId="10" fontId="18" fillId="0" borderId="35" xfId="0" applyNumberFormat="1" applyFont="1" applyBorder="1" applyAlignment="1">
      <alignment vertical="center"/>
    </xf>
    <xf numFmtId="164" fontId="18" fillId="0" borderId="190" xfId="0" applyNumberFormat="1" applyFont="1" applyBorder="1" applyAlignment="1">
      <alignment horizontal="center" vertical="center"/>
    </xf>
    <xf numFmtId="164" fontId="18" fillId="0" borderId="134" xfId="0" applyNumberFormat="1" applyFont="1" applyBorder="1" applyAlignment="1">
      <alignment horizontal="center" vertical="center"/>
    </xf>
    <xf numFmtId="0" fontId="18" fillId="0" borderId="190" xfId="0" applyFont="1" applyBorder="1" applyAlignment="1">
      <alignment horizontal="left" vertical="top" wrapText="1"/>
    </xf>
    <xf numFmtId="164" fontId="18" fillId="0" borderId="191" xfId="0" applyNumberFormat="1" applyFont="1" applyBorder="1" applyAlignment="1">
      <alignment horizontal="center" vertical="center"/>
    </xf>
    <xf numFmtId="164" fontId="18" fillId="0" borderId="87" xfId="0" applyNumberFormat="1" applyFont="1" applyBorder="1" applyAlignment="1">
      <alignment horizontal="center" vertical="center"/>
    </xf>
    <xf numFmtId="0" fontId="12" fillId="12" borderId="119" xfId="0" applyFont="1" applyFill="1" applyBorder="1" applyAlignment="1">
      <alignment horizontal="center" vertical="center"/>
    </xf>
    <xf numFmtId="0" fontId="12" fillId="12" borderId="204" xfId="0" applyFont="1" applyFill="1" applyBorder="1" applyAlignment="1">
      <alignment horizontal="center" vertical="center"/>
    </xf>
    <xf numFmtId="0" fontId="12" fillId="12" borderId="147" xfId="0" applyFont="1" applyFill="1" applyBorder="1" applyAlignment="1">
      <alignment vertical="center"/>
    </xf>
    <xf numFmtId="0" fontId="12" fillId="12" borderId="204" xfId="0" applyFont="1" applyFill="1" applyBorder="1" applyAlignment="1">
      <alignment vertical="center"/>
    </xf>
    <xf numFmtId="0" fontId="12" fillId="12" borderId="201" xfId="0" applyFont="1" applyFill="1" applyBorder="1" applyAlignment="1">
      <alignment vertical="center"/>
    </xf>
    <xf numFmtId="0" fontId="12" fillId="9" borderId="178" xfId="0" applyFont="1" applyFill="1" applyBorder="1" applyAlignment="1">
      <alignment vertical="center" wrapText="1"/>
    </xf>
    <xf numFmtId="164" fontId="15" fillId="9" borderId="32" xfId="0" applyNumberFormat="1" applyFont="1" applyFill="1" applyBorder="1" applyAlignment="1">
      <alignment vertical="center"/>
    </xf>
    <xf numFmtId="9" fontId="18" fillId="0" borderId="32" xfId="1" applyFont="1" applyFill="1" applyBorder="1" applyAlignment="1">
      <alignment vertical="center"/>
    </xf>
    <xf numFmtId="0" fontId="12" fillId="9" borderId="94" xfId="0" applyFont="1" applyFill="1" applyBorder="1" applyAlignment="1">
      <alignment vertical="center"/>
    </xf>
    <xf numFmtId="164" fontId="18" fillId="0" borderId="157" xfId="0" applyNumberFormat="1" applyFont="1" applyBorder="1" applyAlignment="1">
      <alignment horizontal="center" vertical="center"/>
    </xf>
    <xf numFmtId="0" fontId="18" fillId="0" borderId="143" xfId="0" applyFont="1" applyBorder="1" applyAlignment="1">
      <alignment vertical="top" wrapText="1"/>
    </xf>
    <xf numFmtId="164" fontId="18" fillId="0" borderId="87" xfId="0" applyNumberFormat="1" applyFont="1" applyBorder="1" applyAlignment="1">
      <alignment vertical="center"/>
    </xf>
    <xf numFmtId="0" fontId="18" fillId="0" borderId="144" xfId="0" applyFont="1" applyBorder="1" applyAlignment="1">
      <alignment vertical="top" wrapText="1"/>
    </xf>
    <xf numFmtId="164" fontId="18" fillId="0" borderId="84" xfId="0" applyNumberFormat="1" applyFont="1" applyBorder="1" applyAlignment="1">
      <alignment vertical="center"/>
    </xf>
    <xf numFmtId="0" fontId="18" fillId="0" borderId="77" xfId="0" applyFont="1" applyBorder="1" applyAlignment="1">
      <alignment vertical="top" wrapText="1"/>
    </xf>
    <xf numFmtId="0" fontId="18" fillId="0" borderId="169" xfId="0" applyFont="1" applyBorder="1" applyAlignment="1">
      <alignment vertical="top" wrapText="1"/>
    </xf>
    <xf numFmtId="0" fontId="18" fillId="0" borderId="134" xfId="0" applyFont="1" applyBorder="1" applyAlignment="1">
      <alignment vertical="top" wrapText="1"/>
    </xf>
    <xf numFmtId="164" fontId="18" fillId="0" borderId="39" xfId="0" applyNumberFormat="1" applyFont="1" applyBorder="1" applyAlignment="1">
      <alignment horizontal="center" vertical="center"/>
    </xf>
    <xf numFmtId="0" fontId="18" fillId="0" borderId="142" xfId="0" applyFont="1" applyBorder="1" applyAlignment="1">
      <alignment wrapText="1"/>
    </xf>
    <xf numFmtId="165" fontId="15" fillId="9" borderId="187" xfId="0" applyNumberFormat="1" applyFont="1" applyFill="1" applyBorder="1" applyAlignment="1">
      <alignment horizontal="center" vertical="center" wrapText="1"/>
    </xf>
    <xf numFmtId="0" fontId="18" fillId="0" borderId="59" xfId="0" applyFont="1" applyBorder="1" applyAlignment="1">
      <alignment horizontal="left" vertical="top" wrapText="1"/>
    </xf>
    <xf numFmtId="0" fontId="18" fillId="0" borderId="143" xfId="0" applyFont="1" applyBorder="1" applyAlignment="1">
      <alignment horizontal="left" vertical="top" wrapText="1"/>
    </xf>
    <xf numFmtId="164" fontId="18" fillId="0" borderId="141" xfId="0" applyNumberFormat="1" applyFont="1" applyBorder="1" applyAlignment="1">
      <alignment horizontal="center" vertical="center"/>
    </xf>
    <xf numFmtId="0" fontId="18" fillId="0" borderId="87" xfId="0" applyFont="1" applyBorder="1" applyAlignment="1">
      <alignment vertical="center" wrapText="1"/>
    </xf>
    <xf numFmtId="0" fontId="18" fillId="0" borderId="84" xfId="0" applyFont="1" applyBorder="1" applyAlignment="1">
      <alignment vertical="center" wrapText="1"/>
    </xf>
    <xf numFmtId="0" fontId="18" fillId="0" borderId="60" xfId="0" applyFont="1" applyBorder="1" applyAlignment="1">
      <alignment vertical="center" wrapText="1"/>
    </xf>
    <xf numFmtId="0" fontId="18" fillId="0" borderId="77" xfId="0" applyFont="1" applyBorder="1" applyAlignment="1">
      <alignment vertical="center" wrapText="1"/>
    </xf>
    <xf numFmtId="0" fontId="18" fillId="0" borderId="99" xfId="0" applyFont="1" applyBorder="1" applyAlignment="1">
      <alignment horizontal="left" vertical="top" wrapText="1"/>
    </xf>
    <xf numFmtId="0" fontId="18" fillId="0" borderId="130" xfId="0" applyFont="1" applyBorder="1" applyAlignment="1">
      <alignment horizontal="left" vertical="top" wrapText="1"/>
    </xf>
    <xf numFmtId="0" fontId="18" fillId="0" borderId="82" xfId="0" applyFont="1" applyBorder="1" applyAlignment="1">
      <alignment vertical="top" wrapText="1"/>
    </xf>
    <xf numFmtId="0" fontId="18" fillId="0" borderId="80" xfId="0" applyFont="1" applyBorder="1" applyAlignment="1">
      <alignment vertical="top" wrapText="1"/>
    </xf>
    <xf numFmtId="0" fontId="18" fillId="0" borderId="107" xfId="0" applyFont="1" applyBorder="1" applyAlignment="1">
      <alignment vertical="top" wrapText="1"/>
    </xf>
    <xf numFmtId="0" fontId="18" fillId="0" borderId="213" xfId="0" applyFont="1" applyBorder="1" applyAlignment="1">
      <alignment vertical="top" wrapText="1"/>
    </xf>
    <xf numFmtId="164" fontId="18" fillId="0" borderId="66" xfId="0" applyNumberFormat="1" applyFont="1" applyBorder="1" applyAlignment="1">
      <alignment horizontal="center" vertical="center"/>
    </xf>
    <xf numFmtId="0" fontId="18" fillId="0" borderId="84" xfId="0" applyFont="1" applyBorder="1" applyAlignment="1">
      <alignment vertical="top" wrapText="1"/>
    </xf>
    <xf numFmtId="0" fontId="18" fillId="0" borderId="212" xfId="0" applyFont="1" applyBorder="1" applyAlignment="1">
      <alignment horizontal="left" vertical="top" wrapText="1"/>
    </xf>
    <xf numFmtId="164" fontId="18" fillId="0" borderId="35" xfId="0" applyNumberFormat="1" applyFont="1" applyBorder="1" applyAlignment="1">
      <alignment horizontal="center" vertical="center"/>
    </xf>
    <xf numFmtId="0" fontId="18" fillId="0" borderId="59" xfId="0" applyFont="1" applyBorder="1" applyAlignment="1">
      <alignment vertical="center" wrapText="1"/>
    </xf>
    <xf numFmtId="0" fontId="11" fillId="0" borderId="59" xfId="0" applyFont="1" applyBorder="1" applyAlignment="1">
      <alignment horizontal="center" vertical="center"/>
    </xf>
    <xf numFmtId="0" fontId="18" fillId="0" borderId="86" xfId="0" applyFont="1" applyBorder="1" applyAlignment="1">
      <alignment horizontal="left" vertical="top" wrapText="1"/>
    </xf>
    <xf numFmtId="0" fontId="18" fillId="0" borderId="125" xfId="0" applyFont="1" applyBorder="1" applyAlignment="1">
      <alignment horizontal="left" vertical="top" wrapText="1"/>
    </xf>
    <xf numFmtId="0" fontId="18" fillId="0" borderId="104" xfId="0" applyFont="1" applyBorder="1" applyAlignment="1">
      <alignment horizontal="left" vertical="top" wrapText="1"/>
    </xf>
    <xf numFmtId="0" fontId="35" fillId="0" borderId="0" xfId="0" applyFont="1"/>
    <xf numFmtId="0" fontId="10" fillId="0" borderId="6" xfId="0" applyFont="1" applyBorder="1" applyAlignment="1">
      <alignment vertical="top" wrapText="1"/>
    </xf>
    <xf numFmtId="9" fontId="10" fillId="0" borderId="5" xfId="0" applyNumberFormat="1" applyFont="1" applyBorder="1" applyAlignment="1">
      <alignment vertical="top" wrapText="1"/>
    </xf>
    <xf numFmtId="0" fontId="2" fillId="10" borderId="15" xfId="0" applyFont="1" applyFill="1" applyBorder="1" applyAlignment="1">
      <alignment vertical="center" wrapText="1"/>
    </xf>
    <xf numFmtId="9" fontId="41" fillId="0" borderId="14" xfId="1" applyFont="1" applyFill="1" applyBorder="1" applyAlignment="1">
      <alignment vertical="center"/>
    </xf>
    <xf numFmtId="9" fontId="42" fillId="11" borderId="13" xfId="1" applyFont="1" applyFill="1" applyBorder="1" applyAlignment="1">
      <alignment vertical="center"/>
    </xf>
    <xf numFmtId="9" fontId="42" fillId="0" borderId="13" xfId="1" applyFont="1" applyFill="1" applyBorder="1" applyAlignment="1">
      <alignment vertical="center"/>
    </xf>
    <xf numFmtId="0" fontId="10" fillId="10" borderId="12" xfId="0" applyFont="1" applyFill="1" applyBorder="1" applyAlignment="1">
      <alignment horizontal="left" vertical="center" wrapText="1"/>
    </xf>
    <xf numFmtId="9" fontId="41" fillId="0" borderId="3" xfId="1" applyFont="1" applyFill="1" applyBorder="1" applyAlignment="1">
      <alignment vertical="center"/>
    </xf>
    <xf numFmtId="9" fontId="42" fillId="11" borderId="11" xfId="1" applyFont="1" applyFill="1" applyBorder="1" applyAlignment="1">
      <alignment vertical="center"/>
    </xf>
    <xf numFmtId="9" fontId="42" fillId="0" borderId="11" xfId="1" applyFont="1" applyFill="1" applyBorder="1" applyAlignment="1">
      <alignment vertical="center"/>
    </xf>
    <xf numFmtId="0" fontId="7" fillId="10" borderId="12" xfId="0" applyFont="1" applyFill="1" applyBorder="1" applyAlignment="1">
      <alignment vertical="center"/>
    </xf>
    <xf numFmtId="0" fontId="9" fillId="10" borderId="10" xfId="0" applyFont="1" applyFill="1" applyBorder="1" applyAlignment="1">
      <alignment horizontal="left" vertical="center" wrapText="1"/>
    </xf>
    <xf numFmtId="9" fontId="42" fillId="0" borderId="9" xfId="1" applyFont="1" applyFill="1" applyBorder="1" applyAlignment="1">
      <alignment vertical="center"/>
    </xf>
    <xf numFmtId="9" fontId="42" fillId="0" borderId="8" xfId="1" applyFont="1" applyFill="1" applyBorder="1" applyAlignment="1">
      <alignment vertical="center"/>
    </xf>
    <xf numFmtId="0" fontId="10" fillId="0" borderId="0" xfId="0" applyFont="1" applyAlignment="1">
      <alignment horizontal="left" vertical="top" wrapText="1"/>
    </xf>
    <xf numFmtId="0" fontId="15" fillId="0" borderId="31" xfId="0" applyFont="1" applyBorder="1" applyAlignment="1">
      <alignment horizontal="center" vertical="center"/>
    </xf>
    <xf numFmtId="0" fontId="15" fillId="0" borderId="30" xfId="0" applyFont="1" applyBorder="1" applyAlignment="1">
      <alignment horizontal="center" vertical="center"/>
    </xf>
    <xf numFmtId="9" fontId="18" fillId="0" borderId="3" xfId="0" applyNumberFormat="1" applyFont="1" applyBorder="1" applyAlignment="1">
      <alignment horizontal="center" vertical="center"/>
    </xf>
    <xf numFmtId="0" fontId="16" fillId="0" borderId="11" xfId="0" applyFont="1" applyBorder="1" applyAlignment="1">
      <alignment vertical="center" wrapText="1"/>
    </xf>
    <xf numFmtId="0" fontId="19" fillId="0" borderId="42" xfId="0" applyFont="1" applyBorder="1" applyAlignment="1" applyProtection="1">
      <alignment horizontal="center" vertical="center" wrapText="1"/>
      <protection locked="0" hidden="1"/>
    </xf>
    <xf numFmtId="0" fontId="19" fillId="0" borderId="34" xfId="0" applyFont="1" applyBorder="1" applyAlignment="1" applyProtection="1">
      <alignment horizontal="center" vertical="center" wrapText="1"/>
      <protection locked="0" hidden="1"/>
    </xf>
    <xf numFmtId="0" fontId="19" fillId="0" borderId="14" xfId="0" applyFont="1" applyBorder="1" applyAlignment="1" applyProtection="1">
      <alignment horizontal="center" vertical="center" wrapText="1"/>
      <protection locked="0" hidden="1"/>
    </xf>
    <xf numFmtId="165" fontId="19" fillId="0" borderId="42" xfId="0" applyNumberFormat="1" applyFont="1" applyBorder="1" applyAlignment="1" applyProtection="1">
      <alignment horizontal="center" vertical="center" wrapText="1"/>
      <protection hidden="1"/>
    </xf>
    <xf numFmtId="165" fontId="19" fillId="0" borderId="34" xfId="0" applyNumberFormat="1" applyFont="1" applyBorder="1" applyAlignment="1" applyProtection="1">
      <alignment horizontal="center" vertical="center" wrapText="1"/>
      <protection hidden="1"/>
    </xf>
    <xf numFmtId="164" fontId="18" fillId="0" borderId="14" xfId="0" applyNumberFormat="1" applyFont="1" applyBorder="1" applyAlignment="1">
      <alignment horizontal="center" vertical="center"/>
    </xf>
    <xf numFmtId="164" fontId="18" fillId="0" borderId="3" xfId="0" applyNumberFormat="1" applyFont="1" applyBorder="1" applyAlignment="1">
      <alignment horizontal="center" vertical="center"/>
    </xf>
    <xf numFmtId="9" fontId="18" fillId="0" borderId="14" xfId="0" applyNumberFormat="1" applyFont="1" applyBorder="1" applyAlignment="1">
      <alignment horizontal="center" vertical="center"/>
    </xf>
    <xf numFmtId="0" fontId="16" fillId="0" borderId="13" xfId="0" applyFont="1" applyBorder="1" applyAlignment="1">
      <alignment vertical="center" wrapText="1"/>
    </xf>
    <xf numFmtId="0" fontId="12" fillId="9" borderId="50" xfId="0" applyFont="1" applyFill="1" applyBorder="1" applyAlignment="1">
      <alignment horizontal="center" vertical="center" textRotation="90"/>
    </xf>
    <xf numFmtId="0" fontId="12" fillId="9" borderId="10" xfId="0" applyFont="1" applyFill="1" applyBorder="1" applyAlignment="1">
      <alignment horizontal="center" vertical="center" textRotation="90"/>
    </xf>
    <xf numFmtId="0" fontId="12" fillId="14" borderId="48" xfId="0" applyFont="1" applyFill="1" applyBorder="1" applyAlignment="1">
      <alignment horizontal="center" vertical="center"/>
    </xf>
    <xf numFmtId="0" fontId="12" fillId="14" borderId="49" xfId="0" applyFont="1" applyFill="1" applyBorder="1" applyAlignment="1">
      <alignment horizontal="center" vertical="center"/>
    </xf>
    <xf numFmtId="0" fontId="12" fillId="13" borderId="48" xfId="0" applyFont="1" applyFill="1" applyBorder="1" applyAlignment="1">
      <alignment horizontal="center" vertical="center"/>
    </xf>
    <xf numFmtId="0" fontId="12" fillId="13" borderId="47" xfId="0" applyFont="1" applyFill="1" applyBorder="1" applyAlignment="1">
      <alignment horizontal="center" vertical="center"/>
    </xf>
    <xf numFmtId="0" fontId="12" fillId="13" borderId="46" xfId="0" applyFont="1" applyFill="1" applyBorder="1" applyAlignment="1">
      <alignment horizontal="center" vertical="center"/>
    </xf>
    <xf numFmtId="0" fontId="15" fillId="9" borderId="41" xfId="0" applyFont="1" applyFill="1" applyBorder="1" applyAlignment="1">
      <alignment horizontal="center" vertical="center"/>
    </xf>
    <xf numFmtId="0" fontId="15" fillId="9" borderId="15" xfId="0" applyFont="1" applyFill="1" applyBorder="1" applyAlignment="1">
      <alignment horizontal="center" vertical="center"/>
    </xf>
    <xf numFmtId="0" fontId="23" fillId="18" borderId="14" xfId="0" applyFont="1" applyFill="1" applyBorder="1" applyAlignment="1">
      <alignment horizontal="left" vertical="center" wrapText="1"/>
    </xf>
    <xf numFmtId="0" fontId="16" fillId="18" borderId="3" xfId="0" applyFont="1" applyFill="1" applyBorder="1" applyAlignment="1">
      <alignment horizontal="left" vertical="center" wrapText="1"/>
    </xf>
    <xf numFmtId="0" fontId="16" fillId="19" borderId="25" xfId="0" applyFont="1" applyFill="1" applyBorder="1" applyAlignment="1">
      <alignment vertical="center" wrapText="1"/>
    </xf>
    <xf numFmtId="0" fontId="16" fillId="19" borderId="11" xfId="0" applyFont="1" applyFill="1" applyBorder="1" applyAlignment="1">
      <alignment vertical="center" wrapText="1"/>
    </xf>
    <xf numFmtId="0" fontId="21" fillId="0" borderId="41" xfId="0" applyFont="1" applyBorder="1" applyAlignment="1">
      <alignment horizontal="left" vertical="top" wrapText="1"/>
    </xf>
    <xf numFmtId="0" fontId="16" fillId="0" borderId="41" xfId="0" applyFont="1" applyBorder="1" applyAlignment="1">
      <alignment horizontal="left" vertical="top" wrapText="1"/>
    </xf>
    <xf numFmtId="0" fontId="16" fillId="0" borderId="15" xfId="0" applyFont="1" applyBorder="1" applyAlignment="1">
      <alignment horizontal="left" vertical="top" wrapText="1"/>
    </xf>
    <xf numFmtId="0" fontId="21" fillId="0" borderId="34" xfId="0" applyFont="1" applyBorder="1" applyAlignment="1">
      <alignment horizontal="left" vertical="top" wrapText="1"/>
    </xf>
    <xf numFmtId="0" fontId="16" fillId="0" borderId="34" xfId="0" applyFont="1" applyBorder="1" applyAlignment="1">
      <alignment horizontal="left" vertical="top" wrapText="1"/>
    </xf>
    <xf numFmtId="0" fontId="16" fillId="0" borderId="14" xfId="0" applyFont="1" applyBorder="1" applyAlignment="1">
      <alignment horizontal="left" vertical="top" wrapText="1"/>
    </xf>
    <xf numFmtId="0" fontId="16" fillId="0" borderId="2" xfId="0" applyFont="1" applyBorder="1" applyAlignment="1">
      <alignment horizontal="left" vertical="top" wrapText="1"/>
    </xf>
    <xf numFmtId="0" fontId="16" fillId="0" borderId="23" xfId="0" applyFont="1" applyBorder="1" applyAlignment="1">
      <alignment horizontal="left" vertical="top" wrapText="1"/>
    </xf>
    <xf numFmtId="0" fontId="32" fillId="20" borderId="0" xfId="0" applyFont="1" applyFill="1" applyAlignment="1">
      <alignment horizontal="left" vertical="top" wrapText="1"/>
    </xf>
    <xf numFmtId="0" fontId="12" fillId="9" borderId="12"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40" xfId="0" applyFont="1" applyBorder="1" applyAlignment="1">
      <alignment horizontal="left" vertical="top" wrapText="1"/>
    </xf>
    <xf numFmtId="0" fontId="16" fillId="0" borderId="37" xfId="0" applyFont="1" applyBorder="1" applyAlignment="1">
      <alignment horizontal="left" vertical="top" wrapText="1"/>
    </xf>
    <xf numFmtId="0" fontId="16" fillId="0" borderId="52" xfId="0" applyFont="1" applyBorder="1" applyAlignment="1">
      <alignment horizontal="left" vertical="top" wrapText="1"/>
    </xf>
    <xf numFmtId="0" fontId="19" fillId="0" borderId="3" xfId="0" applyFont="1" applyBorder="1" applyAlignment="1" applyProtection="1">
      <alignment horizontal="center" vertical="center" wrapText="1"/>
      <protection locked="0" hidden="1"/>
    </xf>
    <xf numFmtId="165" fontId="19" fillId="0" borderId="37" xfId="0" applyNumberFormat="1" applyFont="1" applyBorder="1" applyAlignment="1" applyProtection="1">
      <alignment horizontal="center" vertical="center" wrapText="1"/>
      <protection hidden="1"/>
    </xf>
    <xf numFmtId="0" fontId="17" fillId="0" borderId="0" xfId="0" applyFont="1" applyAlignment="1">
      <alignment horizontal="left" vertical="top" wrapText="1"/>
    </xf>
    <xf numFmtId="0" fontId="13" fillId="0" borderId="0" xfId="0" applyFont="1" applyAlignment="1">
      <alignment horizontal="left" vertical="top" wrapText="1"/>
    </xf>
    <xf numFmtId="0" fontId="0" fillId="0" borderId="2" xfId="0" applyBorder="1" applyAlignment="1" applyProtection="1">
      <alignment horizontal="left"/>
      <protection locked="0"/>
    </xf>
    <xf numFmtId="0" fontId="0" fillId="0" borderId="0" xfId="0" applyAlignment="1" applyProtection="1">
      <alignment horizontal="left"/>
      <protection locked="0"/>
    </xf>
    <xf numFmtId="0" fontId="8" fillId="0" borderId="0" xfId="0" applyFont="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5" fillId="2"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2" fillId="0" borderId="0" xfId="0" quotePrefix="1" applyFont="1" applyAlignment="1" applyProtection="1">
      <alignment horizontal="left" vertical="top" wrapText="1"/>
      <protection locked="0"/>
    </xf>
    <xf numFmtId="0" fontId="2" fillId="0" borderId="0" xfId="0" applyFont="1" applyAlignment="1" applyProtection="1">
      <alignment horizontal="center" vertical="top"/>
      <protection locked="0"/>
    </xf>
    <xf numFmtId="0" fontId="0" fillId="0" borderId="0" xfId="0" applyAlignment="1" applyProtection="1">
      <alignment horizontal="left" vertical="top"/>
      <protection locked="0"/>
    </xf>
    <xf numFmtId="0" fontId="40" fillId="11" borderId="31" xfId="0" applyFont="1" applyFill="1" applyBorder="1" applyAlignment="1">
      <alignment horizontal="center" vertical="center" wrapText="1"/>
    </xf>
    <xf numFmtId="0" fontId="40" fillId="11" borderId="30" xfId="0" applyFont="1" applyFill="1" applyBorder="1" applyAlignment="1">
      <alignment horizontal="center" vertical="center" wrapText="1"/>
    </xf>
    <xf numFmtId="0" fontId="40" fillId="11" borderId="28" xfId="0" applyFont="1" applyFill="1" applyBorder="1" applyAlignment="1">
      <alignment horizontal="center" vertical="center" wrapText="1"/>
    </xf>
    <xf numFmtId="9" fontId="40" fillId="0" borderId="6" xfId="0" applyNumberFormat="1" applyFont="1" applyBorder="1" applyAlignment="1">
      <alignment horizontal="left" vertical="top" wrapText="1"/>
    </xf>
    <xf numFmtId="9" fontId="40" fillId="0" borderId="19" xfId="0" applyNumberFormat="1" applyFont="1" applyBorder="1" applyAlignment="1">
      <alignment horizontal="left" vertical="top" wrapText="1"/>
    </xf>
    <xf numFmtId="9" fontId="40" fillId="0" borderId="5" xfId="0" applyNumberFormat="1" applyFont="1" applyBorder="1" applyAlignment="1">
      <alignment horizontal="left" vertical="top" wrapText="1"/>
    </xf>
    <xf numFmtId="0" fontId="40" fillId="10" borderId="218" xfId="0" applyFont="1" applyFill="1" applyBorder="1" applyAlignment="1">
      <alignment horizontal="left" vertical="top" wrapText="1"/>
    </xf>
    <xf numFmtId="0" fontId="40" fillId="10" borderId="4" xfId="0" applyFont="1" applyFill="1" applyBorder="1" applyAlignment="1">
      <alignment horizontal="left" vertical="top" wrapText="1"/>
    </xf>
    <xf numFmtId="0" fontId="40" fillId="10" borderId="219" xfId="0" applyFont="1" applyFill="1" applyBorder="1" applyAlignment="1">
      <alignment horizontal="left" vertical="top" wrapText="1"/>
    </xf>
    <xf numFmtId="0" fontId="40" fillId="10" borderId="1" xfId="0" applyFont="1" applyFill="1" applyBorder="1" applyAlignment="1">
      <alignment horizontal="left" vertical="top" wrapText="1"/>
    </xf>
    <xf numFmtId="0" fontId="40" fillId="10" borderId="0" xfId="0" applyFont="1" applyFill="1" applyAlignment="1">
      <alignment horizontal="left" vertical="top" wrapText="1"/>
    </xf>
    <xf numFmtId="0" fontId="40" fillId="10" borderId="7" xfId="0" applyFont="1" applyFill="1" applyBorder="1" applyAlignment="1">
      <alignment horizontal="left" vertical="top" wrapText="1"/>
    </xf>
    <xf numFmtId="0" fontId="40" fillId="10" borderId="31" xfId="0" applyFont="1" applyFill="1" applyBorder="1" applyAlignment="1">
      <alignment horizontal="left" vertical="top" wrapText="1"/>
    </xf>
    <xf numFmtId="0" fontId="40" fillId="10" borderId="30" xfId="0" applyFont="1" applyFill="1" applyBorder="1" applyAlignment="1">
      <alignment horizontal="left" vertical="top" wrapText="1"/>
    </xf>
    <xf numFmtId="0" fontId="40" fillId="10" borderId="28" xfId="0" applyFont="1" applyFill="1" applyBorder="1" applyAlignment="1">
      <alignment horizontal="left" vertical="top" wrapText="1"/>
    </xf>
    <xf numFmtId="0" fontId="5" fillId="11" borderId="6" xfId="0" applyFont="1" applyFill="1" applyBorder="1" applyAlignment="1">
      <alignment horizontal="center" vertical="center"/>
    </xf>
    <xf numFmtId="0" fontId="5" fillId="11" borderId="19" xfId="0" applyFont="1" applyFill="1" applyBorder="1" applyAlignment="1">
      <alignment horizontal="center" vertical="center"/>
    </xf>
    <xf numFmtId="0" fontId="5" fillId="11" borderId="5" xfId="0" applyFont="1" applyFill="1" applyBorder="1" applyAlignment="1">
      <alignment horizontal="center" vertical="center"/>
    </xf>
    <xf numFmtId="0" fontId="17" fillId="0" borderId="0" xfId="0" applyFont="1" applyAlignment="1">
      <alignment horizontal="center" vertical="top" wrapText="1"/>
    </xf>
    <xf numFmtId="0" fontId="16" fillId="0" borderId="38" xfId="0" applyFont="1" applyBorder="1" applyAlignment="1">
      <alignment horizontal="left" vertical="top" wrapText="1"/>
    </xf>
    <xf numFmtId="0" fontId="16" fillId="0" borderId="36" xfId="0" applyFont="1" applyBorder="1" applyAlignment="1">
      <alignment horizontal="left" vertical="top" wrapText="1"/>
    </xf>
    <xf numFmtId="0" fontId="19" fillId="0" borderId="40" xfId="0" applyFont="1" applyBorder="1" applyAlignment="1" applyProtection="1">
      <alignment horizontal="center" vertical="center" wrapText="1"/>
      <protection locked="0" hidden="1"/>
    </xf>
    <xf numFmtId="0" fontId="19" fillId="0" borderId="41" xfId="0" applyFont="1" applyBorder="1" applyAlignment="1" applyProtection="1">
      <alignment horizontal="center" vertical="center" wrapText="1"/>
      <protection locked="0" hidden="1"/>
    </xf>
    <xf numFmtId="0" fontId="19" fillId="0" borderId="43" xfId="0" applyFont="1" applyBorder="1" applyAlignment="1" applyProtection="1">
      <alignment horizontal="center" vertical="center" wrapText="1"/>
      <protection locked="0" hidden="1"/>
    </xf>
    <xf numFmtId="0" fontId="19" fillId="0" borderId="35" xfId="0" applyFont="1" applyBorder="1" applyAlignment="1" applyProtection="1">
      <alignment horizontal="center" vertical="center" wrapText="1"/>
      <protection locked="0" hidden="1"/>
    </xf>
    <xf numFmtId="0" fontId="35" fillId="0" borderId="37" xfId="0" applyFont="1" applyBorder="1" applyAlignment="1">
      <alignment horizontal="left" vertical="center" wrapText="1"/>
    </xf>
    <xf numFmtId="0" fontId="35" fillId="0" borderId="34" xfId="0" applyFont="1" applyBorder="1" applyAlignment="1">
      <alignment horizontal="left" vertical="center" wrapText="1"/>
    </xf>
    <xf numFmtId="0" fontId="18" fillId="0" borderId="38" xfId="0" applyFont="1" applyBorder="1" applyAlignment="1">
      <alignment horizontal="left" vertical="top" wrapText="1"/>
    </xf>
    <xf numFmtId="0" fontId="18" fillId="0" borderId="36" xfId="0" applyFont="1" applyBorder="1" applyAlignment="1">
      <alignment horizontal="left" vertical="top" wrapText="1"/>
    </xf>
    <xf numFmtId="0" fontId="18" fillId="10" borderId="37" xfId="0" applyFont="1" applyFill="1" applyBorder="1" applyAlignment="1">
      <alignment wrapText="1"/>
    </xf>
    <xf numFmtId="0" fontId="18" fillId="10" borderId="34" xfId="0" applyFont="1" applyFill="1" applyBorder="1" applyAlignment="1">
      <alignment wrapText="1"/>
    </xf>
    <xf numFmtId="0" fontId="18" fillId="10" borderId="14" xfId="0" applyFont="1" applyFill="1" applyBorder="1" applyAlignment="1">
      <alignment wrapText="1"/>
    </xf>
    <xf numFmtId="0" fontId="16" fillId="0" borderId="13" xfId="0" applyFont="1" applyBorder="1" applyAlignment="1">
      <alignment horizontal="left" vertical="top" wrapText="1"/>
    </xf>
    <xf numFmtId="0" fontId="12" fillId="9" borderId="153" xfId="0" applyFont="1" applyFill="1" applyBorder="1" applyAlignment="1">
      <alignment horizontal="center" vertical="center"/>
    </xf>
    <xf numFmtId="0" fontId="12" fillId="9" borderId="206" xfId="0" applyFont="1" applyFill="1" applyBorder="1" applyAlignment="1">
      <alignment horizontal="center" vertical="center"/>
    </xf>
    <xf numFmtId="0" fontId="12" fillId="9" borderId="120" xfId="0" applyFont="1" applyFill="1" applyBorder="1" applyAlignment="1">
      <alignment horizontal="center" vertical="center"/>
    </xf>
    <xf numFmtId="0" fontId="12" fillId="9" borderId="210" xfId="0" applyFont="1" applyFill="1" applyBorder="1" applyAlignment="1">
      <alignment horizontal="center" vertical="center"/>
    </xf>
    <xf numFmtId="0" fontId="18" fillId="0" borderId="88" xfId="0" applyFont="1" applyBorder="1" applyAlignment="1">
      <alignment vertical="center" wrapText="1"/>
    </xf>
    <xf numFmtId="0" fontId="18" fillId="0" borderId="100" xfId="0" applyFont="1" applyBorder="1" applyAlignment="1">
      <alignment vertical="center" wrapText="1"/>
    </xf>
    <xf numFmtId="0" fontId="18" fillId="0" borderId="143" xfId="0" applyFont="1" applyBorder="1" applyAlignment="1">
      <alignment horizontal="center" vertical="top" wrapText="1"/>
    </xf>
    <xf numFmtId="0" fontId="18" fillId="0" borderId="144" xfId="0" applyFont="1" applyBorder="1" applyAlignment="1">
      <alignment horizontal="center" vertical="top" wrapText="1"/>
    </xf>
    <xf numFmtId="0" fontId="18" fillId="0" borderId="87" xfId="0" applyFont="1" applyBorder="1" applyAlignment="1">
      <alignment horizontal="center" vertical="top" wrapText="1"/>
    </xf>
    <xf numFmtId="0" fontId="18" fillId="0" borderId="84" xfId="0" applyFont="1" applyBorder="1" applyAlignment="1">
      <alignment horizontal="center" vertical="top" wrapText="1"/>
    </xf>
    <xf numFmtId="0" fontId="18" fillId="0" borderId="169" xfId="0" applyFont="1" applyBorder="1" applyAlignment="1">
      <alignment horizontal="center" vertical="top" wrapText="1"/>
    </xf>
    <xf numFmtId="0" fontId="18" fillId="0" borderId="134" xfId="0" applyFont="1" applyBorder="1" applyAlignment="1">
      <alignment horizontal="center" vertical="top" wrapText="1"/>
    </xf>
    <xf numFmtId="0" fontId="18" fillId="0" borderId="111" xfId="0" applyFont="1" applyBorder="1" applyAlignment="1">
      <alignment vertical="center" wrapText="1"/>
    </xf>
    <xf numFmtId="0" fontId="18" fillId="0" borderId="97" xfId="0" applyFont="1" applyBorder="1" applyAlignment="1">
      <alignment vertical="center" wrapText="1"/>
    </xf>
    <xf numFmtId="0" fontId="18" fillId="0" borderId="72" xfId="0" applyFont="1" applyBorder="1" applyAlignment="1">
      <alignment horizontal="center" vertical="top" wrapText="1"/>
    </xf>
    <xf numFmtId="0" fontId="18" fillId="0" borderId="138" xfId="0" applyFont="1" applyBorder="1" applyAlignment="1">
      <alignment horizontal="left" vertical="center" wrapText="1"/>
    </xf>
    <xf numFmtId="0" fontId="18" fillId="0" borderId="116" xfId="0" applyFont="1" applyBorder="1" applyAlignment="1">
      <alignment horizontal="left" vertical="center" wrapText="1"/>
    </xf>
    <xf numFmtId="0" fontId="18" fillId="0" borderId="118" xfId="0" applyFont="1" applyBorder="1" applyAlignment="1">
      <alignment horizontal="left" vertical="center" wrapText="1"/>
    </xf>
    <xf numFmtId="0" fontId="18" fillId="0" borderId="92" xfId="0" applyFont="1" applyBorder="1" applyAlignment="1">
      <alignment vertical="center" wrapText="1"/>
    </xf>
    <xf numFmtId="0" fontId="18" fillId="0" borderId="211" xfId="0" applyFont="1" applyBorder="1" applyAlignment="1">
      <alignment horizontal="center" vertical="top" wrapText="1"/>
    </xf>
    <xf numFmtId="0" fontId="18" fillId="0" borderId="0" xfId="0" applyFont="1" applyAlignment="1">
      <alignment horizontal="center" vertical="top" wrapText="1"/>
    </xf>
    <xf numFmtId="0" fontId="18" fillId="0" borderId="212" xfId="0" applyFont="1" applyBorder="1" applyAlignment="1">
      <alignment horizontal="center" vertical="top" wrapText="1"/>
    </xf>
    <xf numFmtId="0" fontId="18" fillId="0" borderId="59" xfId="0" applyFont="1" applyBorder="1" applyAlignment="1">
      <alignment horizontal="center" vertical="top" wrapText="1"/>
    </xf>
    <xf numFmtId="0" fontId="18" fillId="0" borderId="133" xfId="0" applyFont="1" applyBorder="1" applyAlignment="1">
      <alignment horizontal="center" vertical="top" wrapText="1"/>
    </xf>
    <xf numFmtId="0" fontId="18" fillId="0" borderId="67" xfId="0" applyFont="1" applyBorder="1" applyAlignment="1">
      <alignment horizontal="center" vertical="top" wrapText="1"/>
    </xf>
    <xf numFmtId="0" fontId="18" fillId="0" borderId="138" xfId="0" applyFont="1" applyBorder="1" applyAlignment="1">
      <alignment horizontal="left" vertical="top" wrapText="1"/>
    </xf>
    <xf numFmtId="0" fontId="18" fillId="0" borderId="118" xfId="0" applyFont="1" applyBorder="1" applyAlignment="1">
      <alignment horizontal="left" vertical="top" wrapText="1"/>
    </xf>
    <xf numFmtId="0" fontId="18" fillId="0" borderId="116" xfId="0" applyFont="1" applyBorder="1" applyAlignment="1">
      <alignment horizontal="left" vertical="top" wrapText="1"/>
    </xf>
    <xf numFmtId="0" fontId="18" fillId="0" borderId="92" xfId="0" applyFont="1" applyBorder="1" applyAlignment="1">
      <alignment horizontal="left" vertical="center" wrapText="1"/>
    </xf>
    <xf numFmtId="0" fontId="35" fillId="0" borderId="117" xfId="0" applyFont="1" applyBorder="1" applyAlignment="1">
      <alignment horizontal="left" vertical="center" wrapText="1"/>
    </xf>
    <xf numFmtId="0" fontId="18" fillId="0" borderId="160" xfId="0" applyFont="1" applyBorder="1" applyAlignment="1">
      <alignment horizontal="left" vertical="center" wrapText="1"/>
    </xf>
    <xf numFmtId="0" fontId="18" fillId="0" borderId="158" xfId="0" applyFont="1" applyBorder="1" applyAlignment="1">
      <alignment horizontal="left" vertical="center" wrapText="1"/>
    </xf>
    <xf numFmtId="0" fontId="39" fillId="0" borderId="207" xfId="0" applyFont="1" applyBorder="1" applyAlignment="1">
      <alignment horizontal="left" vertical="top" wrapText="1"/>
    </xf>
    <xf numFmtId="0" fontId="18" fillId="0" borderId="186" xfId="0" applyFont="1" applyBorder="1" applyAlignment="1">
      <alignment horizontal="left" vertical="top" wrapText="1"/>
    </xf>
    <xf numFmtId="165" fontId="19" fillId="0" borderId="139" xfId="0" applyNumberFormat="1" applyFont="1" applyBorder="1" applyAlignment="1" applyProtection="1">
      <alignment horizontal="center" vertical="center" wrapText="1"/>
      <protection hidden="1"/>
    </xf>
    <xf numFmtId="165" fontId="19" fillId="0" borderId="141" xfId="0" applyNumberFormat="1" applyFont="1" applyBorder="1" applyAlignment="1" applyProtection="1">
      <alignment horizontal="center" vertical="center" wrapText="1"/>
      <protection hidden="1"/>
    </xf>
    <xf numFmtId="164" fontId="18" fillId="0" borderId="140" xfId="0" applyNumberFormat="1" applyFont="1" applyBorder="1" applyAlignment="1">
      <alignment horizontal="center" vertical="center"/>
    </xf>
    <xf numFmtId="164" fontId="18" fillId="0" borderId="142" xfId="0" applyNumberFormat="1" applyFont="1" applyBorder="1" applyAlignment="1">
      <alignment horizontal="center" vertical="center"/>
    </xf>
    <xf numFmtId="0" fontId="18" fillId="0" borderId="192" xfId="0" applyFont="1" applyBorder="1" applyAlignment="1">
      <alignment horizontal="center" vertical="top" wrapText="1"/>
    </xf>
    <xf numFmtId="0" fontId="18" fillId="0" borderId="188" xfId="0" applyFont="1" applyBorder="1" applyAlignment="1">
      <alignment horizontal="center" vertical="top" wrapText="1"/>
    </xf>
    <xf numFmtId="0" fontId="19" fillId="0" borderId="190" xfId="0" applyFont="1" applyBorder="1" applyAlignment="1" applyProtection="1">
      <alignment horizontal="center" vertical="center" wrapText="1"/>
      <protection locked="0" hidden="1"/>
    </xf>
    <xf numFmtId="0" fontId="19" fillId="0" borderId="189" xfId="0" applyFont="1" applyBorder="1" applyAlignment="1" applyProtection="1">
      <alignment horizontal="center" vertical="center" wrapText="1"/>
      <protection locked="0" hidden="1"/>
    </xf>
    <xf numFmtId="0" fontId="18" fillId="0" borderId="2" xfId="0" applyFont="1" applyBorder="1" applyAlignment="1">
      <alignment horizontal="left" vertical="top" wrapText="1"/>
    </xf>
    <xf numFmtId="0" fontId="18" fillId="0" borderId="35" xfId="0" applyFont="1" applyBorder="1" applyAlignment="1">
      <alignment horizontal="left" vertical="top" wrapText="1"/>
    </xf>
    <xf numFmtId="0" fontId="18" fillId="0" borderId="34" xfId="0" applyFont="1" applyBorder="1" applyAlignment="1">
      <alignment horizontal="left" vertical="top" wrapText="1"/>
    </xf>
    <xf numFmtId="0" fontId="34" fillId="0" borderId="123" xfId="0" applyFont="1" applyBorder="1" applyAlignment="1">
      <alignment horizontal="left" vertical="center" wrapText="1"/>
    </xf>
    <xf numFmtId="0" fontId="18" fillId="0" borderId="98" xfId="0" applyFont="1" applyBorder="1" applyAlignment="1">
      <alignment horizontal="left" vertical="center" wrapText="1"/>
    </xf>
    <xf numFmtId="0" fontId="18" fillId="0" borderId="156" xfId="0" applyFont="1" applyBorder="1" applyAlignment="1">
      <alignment horizontal="left" vertical="center" wrapText="1"/>
    </xf>
    <xf numFmtId="0" fontId="18" fillId="0" borderId="63" xfId="0" applyFont="1" applyBorder="1" applyAlignment="1">
      <alignment horizontal="left" vertical="center" wrapText="1"/>
    </xf>
    <xf numFmtId="0" fontId="18" fillId="0" borderId="130" xfId="0" applyFont="1" applyBorder="1" applyAlignment="1">
      <alignment horizontal="left" vertical="top" wrapText="1"/>
    </xf>
    <xf numFmtId="0" fontId="18" fillId="0" borderId="89" xfId="0" applyFont="1" applyBorder="1" applyAlignment="1">
      <alignment horizontal="left" vertical="top" wrapText="1"/>
    </xf>
    <xf numFmtId="0" fontId="18" fillId="0" borderId="99" xfId="0" applyFont="1" applyBorder="1" applyAlignment="1">
      <alignment horizontal="left" vertical="top" wrapText="1"/>
    </xf>
    <xf numFmtId="0" fontId="18" fillId="0" borderId="77" xfId="0" applyFont="1" applyBorder="1" applyAlignment="1">
      <alignment horizontal="left" vertical="top" wrapText="1"/>
    </xf>
    <xf numFmtId="0" fontId="18" fillId="0" borderId="59" xfId="0" applyFont="1" applyBorder="1" applyAlignment="1">
      <alignment horizontal="left" vertical="top" wrapText="1"/>
    </xf>
    <xf numFmtId="0" fontId="18" fillId="0" borderId="84" xfId="0" applyFont="1" applyBorder="1" applyAlignment="1">
      <alignment horizontal="left" vertical="top" wrapText="1"/>
    </xf>
    <xf numFmtId="0" fontId="39" fillId="10" borderId="199" xfId="0" applyFont="1" applyFill="1" applyBorder="1" applyAlignment="1">
      <alignment horizontal="left" vertical="top" wrapText="1"/>
    </xf>
    <xf numFmtId="0" fontId="18" fillId="10" borderId="63" xfId="0" applyFont="1" applyFill="1" applyBorder="1" applyAlignment="1">
      <alignment horizontal="left" vertical="top" wrapText="1"/>
    </xf>
    <xf numFmtId="0" fontId="18" fillId="10" borderId="208" xfId="0" applyFont="1" applyFill="1" applyBorder="1" applyAlignment="1">
      <alignment horizontal="left" vertical="top" wrapText="1"/>
    </xf>
    <xf numFmtId="165" fontId="19" fillId="0" borderId="87" xfId="0" applyNumberFormat="1" applyFont="1" applyBorder="1" applyAlignment="1" applyProtection="1">
      <alignment horizontal="center" vertical="center" wrapText="1"/>
      <protection hidden="1"/>
    </xf>
    <xf numFmtId="165" fontId="19" fillId="0" borderId="59" xfId="0" applyNumberFormat="1" applyFont="1" applyBorder="1" applyAlignment="1" applyProtection="1">
      <alignment horizontal="center" vertical="center" wrapText="1"/>
      <protection hidden="1"/>
    </xf>
    <xf numFmtId="165" fontId="19" fillId="0" borderId="84" xfId="0" applyNumberFormat="1" applyFont="1" applyBorder="1" applyAlignment="1" applyProtection="1">
      <alignment horizontal="center" vertical="center" wrapText="1"/>
      <protection hidden="1"/>
    </xf>
    <xf numFmtId="164" fontId="18" fillId="0" borderId="37" xfId="0" applyNumberFormat="1" applyFont="1" applyBorder="1" applyAlignment="1">
      <alignment horizontal="center" vertical="center"/>
    </xf>
    <xf numFmtId="0" fontId="16" fillId="0" borderId="160" xfId="0" applyFont="1" applyBorder="1" applyAlignment="1">
      <alignment horizontal="left" vertical="center" wrapText="1"/>
    </xf>
    <xf numFmtId="0" fontId="16" fillId="0" borderId="158" xfId="0" applyFont="1" applyBorder="1" applyAlignment="1">
      <alignment horizontal="left" vertical="center" wrapText="1"/>
    </xf>
    <xf numFmtId="0" fontId="18" fillId="0" borderId="113" xfId="0" applyFont="1" applyBorder="1" applyAlignment="1">
      <alignment vertical="center" wrapText="1"/>
    </xf>
    <xf numFmtId="0" fontId="18" fillId="0" borderId="161" xfId="0" applyFont="1" applyBorder="1" applyAlignment="1">
      <alignment vertical="center" wrapText="1"/>
    </xf>
    <xf numFmtId="0" fontId="18" fillId="0" borderId="114" xfId="0" applyFont="1" applyBorder="1" applyAlignment="1">
      <alignment vertical="center" wrapText="1"/>
    </xf>
    <xf numFmtId="0" fontId="16" fillId="0" borderId="35" xfId="0" applyFont="1" applyBorder="1" applyAlignment="1">
      <alignment horizontal="left" vertical="top" wrapText="1"/>
    </xf>
    <xf numFmtId="0" fontId="16" fillId="0" borderId="150" xfId="0" applyFont="1" applyBorder="1" applyAlignment="1">
      <alignment horizontal="left" vertical="top" wrapText="1"/>
    </xf>
    <xf numFmtId="0" fontId="16" fillId="0" borderId="141" xfId="0" applyFont="1" applyBorder="1" applyAlignment="1">
      <alignment horizontal="left" vertical="top" wrapText="1"/>
    </xf>
    <xf numFmtId="0" fontId="18" fillId="0" borderId="145" xfId="0" applyFont="1" applyBorder="1" applyAlignment="1">
      <alignment horizontal="left" vertical="top" wrapText="1"/>
    </xf>
    <xf numFmtId="0" fontId="18" fillId="0" borderId="146" xfId="0" applyFont="1" applyBorder="1" applyAlignment="1">
      <alignment horizontal="left" vertical="top" wrapText="1"/>
    </xf>
    <xf numFmtId="9" fontId="18" fillId="0" borderId="64" xfId="0" applyNumberFormat="1" applyFont="1" applyBorder="1" applyAlignment="1">
      <alignment horizontal="center" vertical="center"/>
    </xf>
    <xf numFmtId="9" fontId="18" fillId="0" borderId="72" xfId="0" applyNumberFormat="1" applyFont="1" applyBorder="1" applyAlignment="1">
      <alignment horizontal="center" vertical="center"/>
    </xf>
    <xf numFmtId="165" fontId="19" fillId="0" borderId="173" xfId="0" applyNumberFormat="1" applyFont="1" applyBorder="1" applyAlignment="1" applyProtection="1">
      <alignment horizontal="center" vertical="center" wrapText="1"/>
      <protection hidden="1"/>
    </xf>
    <xf numFmtId="165" fontId="19" fillId="0" borderId="175" xfId="0" applyNumberFormat="1" applyFont="1" applyBorder="1" applyAlignment="1" applyProtection="1">
      <alignment horizontal="center" vertical="center" wrapText="1"/>
      <protection hidden="1"/>
    </xf>
    <xf numFmtId="0" fontId="18" fillId="0" borderId="131" xfId="0" applyFont="1" applyBorder="1" applyAlignment="1">
      <alignment vertical="center" wrapText="1"/>
    </xf>
    <xf numFmtId="0" fontId="18" fillId="0" borderId="126" xfId="0" applyFont="1" applyBorder="1" applyAlignment="1">
      <alignment vertical="center" wrapText="1"/>
    </xf>
    <xf numFmtId="0" fontId="18" fillId="0" borderId="64" xfId="0" applyFont="1" applyBorder="1" applyAlignment="1">
      <alignment horizontal="center" vertical="top" wrapText="1"/>
    </xf>
    <xf numFmtId="0" fontId="18" fillId="0" borderId="62" xfId="0" applyFont="1" applyBorder="1" applyAlignment="1">
      <alignment horizontal="center" vertical="top" wrapText="1"/>
    </xf>
    <xf numFmtId="0" fontId="18" fillId="0" borderId="2" xfId="0" applyFont="1" applyBorder="1" applyAlignment="1">
      <alignment horizontal="center" vertical="top" wrapText="1"/>
    </xf>
    <xf numFmtId="0" fontId="18" fillId="0" borderId="149" xfId="0" applyFont="1" applyBorder="1" applyAlignment="1">
      <alignment horizontal="center" vertical="top" wrapText="1"/>
    </xf>
    <xf numFmtId="0" fontId="18" fillId="0" borderId="35" xfId="0" applyFont="1" applyBorder="1" applyAlignment="1">
      <alignment horizontal="center" vertical="top" wrapText="1"/>
    </xf>
    <xf numFmtId="0" fontId="18" fillId="0" borderId="150" xfId="0" applyFont="1" applyBorder="1" applyAlignment="1">
      <alignment horizontal="center" vertical="top" wrapText="1"/>
    </xf>
    <xf numFmtId="0" fontId="18" fillId="0" borderId="139" xfId="0" applyFont="1" applyBorder="1" applyAlignment="1">
      <alignment horizontal="center" vertical="top" wrapText="1"/>
    </xf>
    <xf numFmtId="0" fontId="18" fillId="0" borderId="34" xfId="0" applyFont="1" applyBorder="1" applyAlignment="1">
      <alignment horizontal="center" vertical="top" wrapText="1"/>
    </xf>
    <xf numFmtId="0" fontId="18" fillId="0" borderId="141" xfId="0" applyFont="1" applyBorder="1" applyAlignment="1">
      <alignment horizontal="center" vertical="top" wrapText="1"/>
    </xf>
    <xf numFmtId="0" fontId="18" fillId="0" borderId="145" xfId="0" applyFont="1" applyBorder="1" applyAlignment="1">
      <alignment horizontal="center" vertical="top" wrapText="1"/>
    </xf>
    <xf numFmtId="0" fontId="18" fillId="0" borderId="146" xfId="0" applyFont="1" applyBorder="1" applyAlignment="1">
      <alignment horizontal="center" vertical="top" wrapText="1"/>
    </xf>
    <xf numFmtId="0" fontId="19" fillId="0" borderId="119" xfId="0" applyFont="1" applyBorder="1" applyAlignment="1" applyProtection="1">
      <alignment horizontal="center" vertical="center" wrapText="1"/>
      <protection locked="0" hidden="1"/>
    </xf>
    <xf numFmtId="0" fontId="19" fillId="0" borderId="98" xfId="0" applyFont="1" applyBorder="1" applyAlignment="1" applyProtection="1">
      <alignment horizontal="center" vertical="center" wrapText="1"/>
      <protection locked="0" hidden="1"/>
    </xf>
    <xf numFmtId="0" fontId="19" fillId="0" borderId="137" xfId="0" applyFont="1" applyBorder="1" applyAlignment="1" applyProtection="1">
      <alignment horizontal="center" vertical="center" wrapText="1"/>
      <protection locked="0" hidden="1"/>
    </xf>
    <xf numFmtId="0" fontId="18" fillId="0" borderId="77" xfId="0" applyFont="1" applyBorder="1" applyAlignment="1">
      <alignment horizontal="center" vertical="top" wrapText="1"/>
    </xf>
    <xf numFmtId="0" fontId="18" fillId="0" borderId="60" xfId="0" applyFont="1" applyBorder="1" applyAlignment="1">
      <alignment horizontal="center" vertical="top" wrapText="1"/>
    </xf>
    <xf numFmtId="0" fontId="19" fillId="0" borderId="123" xfId="0" applyFont="1" applyBorder="1" applyAlignment="1" applyProtection="1">
      <alignment horizontal="center" vertical="center" wrapText="1"/>
      <protection locked="0" hidden="1"/>
    </xf>
    <xf numFmtId="0" fontId="19" fillId="0" borderId="156" xfId="0" applyFont="1" applyBorder="1" applyAlignment="1" applyProtection="1">
      <alignment horizontal="center" vertical="center" wrapText="1"/>
      <protection locked="0" hidden="1"/>
    </xf>
    <xf numFmtId="9" fontId="18" fillId="0" borderId="139" xfId="0" applyNumberFormat="1" applyFont="1" applyBorder="1" applyAlignment="1">
      <alignment horizontal="center" vertical="center"/>
    </xf>
    <xf numFmtId="9" fontId="18" fillId="0" borderId="141" xfId="0" applyNumberFormat="1" applyFont="1" applyBorder="1" applyAlignment="1">
      <alignment horizontal="center" vertical="center"/>
    </xf>
    <xf numFmtId="9" fontId="18" fillId="0" borderId="34" xfId="0" applyNumberFormat="1" applyFont="1" applyBorder="1" applyAlignment="1">
      <alignment horizontal="center" vertical="center"/>
    </xf>
    <xf numFmtId="0" fontId="19" fillId="0" borderId="130" xfId="0" applyFont="1" applyBorder="1" applyAlignment="1" applyProtection="1">
      <alignment horizontal="center" vertical="center" wrapText="1"/>
      <protection locked="0" hidden="1"/>
    </xf>
    <xf numFmtId="0" fontId="19" fillId="0" borderId="89" xfId="0" applyFont="1" applyBorder="1" applyAlignment="1" applyProtection="1">
      <alignment horizontal="center" vertical="center" wrapText="1"/>
      <protection locked="0" hidden="1"/>
    </xf>
    <xf numFmtId="0" fontId="19" fillId="0" borderId="125" xfId="0" applyFont="1" applyBorder="1" applyAlignment="1" applyProtection="1">
      <alignment horizontal="center" vertical="center" wrapText="1"/>
      <protection locked="0" hidden="1"/>
    </xf>
    <xf numFmtId="165" fontId="19" fillId="0" borderId="35" xfId="0" applyNumberFormat="1" applyFont="1" applyBorder="1" applyAlignment="1" applyProtection="1">
      <alignment horizontal="center" vertical="center" wrapText="1"/>
      <protection hidden="1"/>
    </xf>
    <xf numFmtId="0" fontId="18" fillId="0" borderId="149" xfId="0" applyFont="1" applyBorder="1" applyAlignment="1">
      <alignment horizontal="left" vertical="top" wrapText="1"/>
    </xf>
    <xf numFmtId="0" fontId="18" fillId="0" borderId="150" xfId="0" applyFont="1" applyBorder="1" applyAlignment="1">
      <alignment horizontal="left" vertical="top" wrapText="1"/>
    </xf>
    <xf numFmtId="0" fontId="18" fillId="0" borderId="139" xfId="0" applyFont="1" applyBorder="1" applyAlignment="1">
      <alignment horizontal="left" vertical="top" wrapText="1"/>
    </xf>
    <xf numFmtId="0" fontId="18" fillId="0" borderId="141" xfId="0" applyFont="1" applyBorder="1" applyAlignment="1">
      <alignment horizontal="left" vertical="top" wrapText="1"/>
    </xf>
    <xf numFmtId="9" fontId="18" fillId="0" borderId="140" xfId="0" applyNumberFormat="1" applyFont="1" applyBorder="1" applyAlignment="1">
      <alignment horizontal="center" vertical="center"/>
    </xf>
    <xf numFmtId="9" fontId="18" fillId="0" borderId="142" xfId="0" applyNumberFormat="1" applyFont="1" applyBorder="1" applyAlignment="1">
      <alignment horizontal="center" vertical="center"/>
    </xf>
    <xf numFmtId="0" fontId="19" fillId="0" borderId="169" xfId="0" applyFont="1" applyBorder="1" applyAlignment="1" applyProtection="1">
      <alignment horizontal="center" vertical="center" wrapText="1"/>
      <protection locked="0" hidden="1"/>
    </xf>
    <xf numFmtId="0" fontId="19" fillId="0" borderId="66" xfId="0" applyFont="1" applyBorder="1" applyAlignment="1" applyProtection="1">
      <alignment horizontal="center" vertical="center" wrapText="1"/>
      <protection locked="0" hidden="1"/>
    </xf>
    <xf numFmtId="0" fontId="19" fillId="0" borderId="134" xfId="0" applyFont="1" applyBorder="1" applyAlignment="1" applyProtection="1">
      <alignment horizontal="center" vertical="center" wrapText="1"/>
      <protection locked="0" hidden="1"/>
    </xf>
    <xf numFmtId="0" fontId="19" fillId="0" borderId="91" xfId="0" applyFont="1" applyBorder="1" applyAlignment="1" applyProtection="1">
      <alignment horizontal="center" vertical="center" wrapText="1"/>
      <protection locked="0" hidden="1"/>
    </xf>
    <xf numFmtId="0" fontId="19" fillId="0" borderId="178" xfId="0" applyFont="1" applyBorder="1" applyAlignment="1" applyProtection="1">
      <alignment horizontal="center" vertical="center" wrapText="1"/>
      <protection locked="0" hidden="1"/>
    </xf>
    <xf numFmtId="165" fontId="19" fillId="0" borderId="2" xfId="0" applyNumberFormat="1" applyFont="1" applyBorder="1" applyAlignment="1" applyProtection="1">
      <alignment horizontal="center" vertical="center" wrapText="1"/>
      <protection hidden="1"/>
    </xf>
    <xf numFmtId="0" fontId="20" fillId="0" borderId="149" xfId="0" applyFont="1" applyBorder="1" applyAlignment="1">
      <alignment horizontal="left" vertical="top" wrapText="1"/>
    </xf>
    <xf numFmtId="0" fontId="18" fillId="0" borderId="111" xfId="0" applyFont="1" applyBorder="1" applyAlignment="1">
      <alignment horizontal="center" vertical="center" wrapText="1"/>
    </xf>
    <xf numFmtId="0" fontId="18" fillId="0" borderId="97" xfId="0" applyFont="1" applyBorder="1" applyAlignment="1">
      <alignment horizontal="center" vertical="center" wrapText="1"/>
    </xf>
    <xf numFmtId="0" fontId="19" fillId="0" borderId="160" xfId="0" applyFont="1" applyBorder="1" applyAlignment="1" applyProtection="1">
      <alignment horizontal="center" vertical="center" wrapText="1"/>
      <protection locked="0" hidden="1"/>
    </xf>
    <xf numFmtId="9" fontId="18" fillId="0" borderId="37" xfId="0" applyNumberFormat="1" applyFont="1" applyBorder="1" applyAlignment="1">
      <alignment horizontal="center" vertical="center"/>
    </xf>
    <xf numFmtId="0" fontId="18" fillId="0" borderId="93" xfId="0" applyFont="1" applyBorder="1" applyAlignment="1">
      <alignment vertical="center" wrapText="1"/>
    </xf>
    <xf numFmtId="0" fontId="18" fillId="0" borderId="94" xfId="0" applyFont="1" applyBorder="1" applyAlignment="1">
      <alignment vertical="center" wrapText="1"/>
    </xf>
    <xf numFmtId="0" fontId="19" fillId="0" borderId="117" xfId="0" applyFont="1" applyBorder="1" applyAlignment="1" applyProtection="1">
      <alignment horizontal="center" vertical="center" wrapText="1"/>
      <protection locked="0" hidden="1"/>
    </xf>
    <xf numFmtId="0" fontId="19" fillId="0" borderId="158" xfId="0" applyFont="1" applyBorder="1" applyAlignment="1" applyProtection="1">
      <alignment horizontal="center" vertical="center" wrapText="1"/>
      <protection locked="0" hidden="1"/>
    </xf>
    <xf numFmtId="0" fontId="19" fillId="0" borderId="138" xfId="0" applyFont="1" applyBorder="1" applyAlignment="1" applyProtection="1">
      <alignment horizontal="center" vertical="center" wrapText="1"/>
      <protection locked="0" hidden="1"/>
    </xf>
    <xf numFmtId="0" fontId="19" fillId="0" borderId="116" xfId="0" applyFont="1" applyBorder="1" applyAlignment="1" applyProtection="1">
      <alignment horizontal="center" vertical="center" wrapText="1"/>
      <protection locked="0" hidden="1"/>
    </xf>
    <xf numFmtId="0" fontId="19" fillId="0" borderId="118" xfId="0" applyFont="1" applyBorder="1" applyAlignment="1" applyProtection="1">
      <alignment horizontal="center" vertical="center" wrapText="1"/>
      <protection locked="0" hidden="1"/>
    </xf>
    <xf numFmtId="164" fontId="18" fillId="0" borderId="79" xfId="0" applyNumberFormat="1" applyFont="1" applyBorder="1" applyAlignment="1">
      <alignment horizontal="center" vertical="center"/>
    </xf>
    <xf numFmtId="164" fontId="18" fillId="0" borderId="78" xfId="0" applyNumberFormat="1" applyFont="1" applyBorder="1" applyAlignment="1">
      <alignment horizontal="center" vertical="center"/>
    </xf>
    <xf numFmtId="0" fontId="18" fillId="0" borderId="92" xfId="0" applyFont="1" applyBorder="1" applyAlignment="1">
      <alignment horizontal="center" vertical="center" wrapText="1"/>
    </xf>
    <xf numFmtId="0" fontId="16" fillId="0" borderId="113" xfId="0" applyFont="1" applyBorder="1" applyAlignment="1">
      <alignment vertical="center" wrapText="1"/>
    </xf>
    <xf numFmtId="0" fontId="16" fillId="0" borderId="161" xfId="0" applyFont="1" applyBorder="1" applyAlignment="1">
      <alignment vertical="center" wrapText="1"/>
    </xf>
    <xf numFmtId="0" fontId="16" fillId="0" borderId="114" xfId="0" applyFont="1" applyBorder="1" applyAlignment="1">
      <alignment vertical="center" wrapText="1"/>
    </xf>
    <xf numFmtId="0" fontId="18" fillId="0" borderId="131"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126" xfId="0" applyFont="1" applyBorder="1" applyAlignment="1">
      <alignment horizontal="center" vertical="center" wrapText="1"/>
    </xf>
    <xf numFmtId="0" fontId="18" fillId="0" borderId="130" xfId="0" applyFont="1" applyBorder="1" applyAlignment="1">
      <alignment horizontal="left" vertical="center" wrapText="1"/>
    </xf>
    <xf numFmtId="0" fontId="18" fillId="0" borderId="125" xfId="0" applyFont="1" applyBorder="1" applyAlignment="1">
      <alignment horizontal="left" vertical="center" wrapText="1"/>
    </xf>
    <xf numFmtId="0" fontId="18" fillId="0" borderId="131" xfId="0" applyFont="1" applyBorder="1" applyAlignment="1">
      <alignment horizontal="left" vertical="top" wrapText="1"/>
    </xf>
    <xf numFmtId="0" fontId="18" fillId="0" borderId="90" xfId="0" applyFont="1" applyBorder="1" applyAlignment="1">
      <alignment horizontal="left" vertical="top" wrapText="1"/>
    </xf>
    <xf numFmtId="0" fontId="18" fillId="0" borderId="100" xfId="0" applyFont="1" applyBorder="1" applyAlignment="1">
      <alignment horizontal="left" vertical="top" wrapText="1"/>
    </xf>
    <xf numFmtId="0" fontId="16" fillId="0" borderId="146" xfId="0" applyFont="1" applyBorder="1" applyAlignment="1">
      <alignment horizontal="left" vertical="top" wrapText="1"/>
    </xf>
    <xf numFmtId="0" fontId="36" fillId="0" borderId="91" xfId="0" applyFont="1" applyBorder="1" applyAlignment="1">
      <alignment horizontal="left" vertical="center" wrapText="1"/>
    </xf>
    <xf numFmtId="0" fontId="18" fillId="0" borderId="178" xfId="0" applyFont="1" applyBorder="1" applyAlignment="1">
      <alignment horizontal="left" vertical="center" wrapText="1"/>
    </xf>
    <xf numFmtId="0" fontId="35" fillId="0" borderId="91" xfId="0" applyFont="1" applyBorder="1" applyAlignment="1">
      <alignment horizontal="left" vertical="center" wrapText="1"/>
    </xf>
    <xf numFmtId="0" fontId="35" fillId="0" borderId="160" xfId="0" applyFont="1" applyBorder="1" applyAlignment="1">
      <alignment horizontal="left" vertical="center" wrapText="1"/>
    </xf>
    <xf numFmtId="164" fontId="18" fillId="0" borderId="87" xfId="0" applyNumberFormat="1" applyFont="1" applyBorder="1" applyAlignment="1">
      <alignment horizontal="center" vertical="center"/>
    </xf>
    <xf numFmtId="164" fontId="18" fillId="0" borderId="59" xfId="0" applyNumberFormat="1" applyFont="1" applyBorder="1" applyAlignment="1">
      <alignment horizontal="center" vertical="center"/>
    </xf>
    <xf numFmtId="164" fontId="18" fillId="0" borderId="84" xfId="0" applyNumberFormat="1" applyFont="1" applyBorder="1" applyAlignment="1">
      <alignment horizontal="center" vertical="center"/>
    </xf>
    <xf numFmtId="0" fontId="19" fillId="0" borderId="71" xfId="0" applyFont="1" applyBorder="1" applyAlignment="1" applyProtection="1">
      <alignment horizontal="center" vertical="center" wrapText="1"/>
      <protection locked="0" hidden="1"/>
    </xf>
    <xf numFmtId="165" fontId="19" fillId="0" borderId="61" xfId="0" applyNumberFormat="1" applyFont="1" applyBorder="1" applyAlignment="1" applyProtection="1">
      <alignment horizontal="center" vertical="center" wrapText="1"/>
      <protection hidden="1"/>
    </xf>
    <xf numFmtId="164" fontId="18" fillId="0" borderId="61" xfId="0" applyNumberFormat="1" applyFont="1" applyBorder="1" applyAlignment="1">
      <alignment horizontal="center" vertical="center"/>
    </xf>
    <xf numFmtId="0" fontId="35" fillId="10" borderId="63" xfId="0" applyFont="1" applyFill="1" applyBorder="1" applyAlignment="1">
      <alignment horizontal="left" vertical="top" wrapText="1"/>
    </xf>
    <xf numFmtId="0" fontId="18" fillId="0" borderId="203" xfId="0" applyFont="1" applyBorder="1" applyAlignment="1">
      <alignment horizontal="center" vertical="top" wrapText="1"/>
    </xf>
    <xf numFmtId="0" fontId="18" fillId="0" borderId="186" xfId="0" applyFont="1" applyBorder="1" applyAlignment="1">
      <alignment horizontal="center" vertical="top" wrapText="1"/>
    </xf>
    <xf numFmtId="0" fontId="18" fillId="0" borderId="71" xfId="0" applyFont="1" applyBorder="1" applyAlignment="1">
      <alignment horizontal="center" vertical="top" wrapText="1"/>
    </xf>
    <xf numFmtId="0" fontId="18" fillId="0" borderId="189" xfId="0" applyFont="1" applyBorder="1" applyAlignment="1">
      <alignment horizontal="center" vertical="top" wrapText="1"/>
    </xf>
    <xf numFmtId="0" fontId="18" fillId="0" borderId="185" xfId="0" applyFont="1" applyBorder="1" applyAlignment="1">
      <alignment horizontal="center" vertical="top" wrapText="1"/>
    </xf>
    <xf numFmtId="0" fontId="39" fillId="0" borderId="203" xfId="0" applyFont="1" applyBorder="1" applyAlignment="1">
      <alignment horizontal="left" vertical="top" wrapText="1"/>
    </xf>
    <xf numFmtId="0" fontId="35" fillId="0" borderId="203" xfId="0" applyFont="1" applyBorder="1" applyAlignment="1">
      <alignment horizontal="left" vertical="top" wrapText="1"/>
    </xf>
    <xf numFmtId="0" fontId="18" fillId="0" borderId="203" xfId="0" applyFont="1" applyBorder="1" applyAlignment="1">
      <alignment horizontal="left" vertical="top" wrapText="1"/>
    </xf>
    <xf numFmtId="164" fontId="18" fillId="0" borderId="193" xfId="0" applyNumberFormat="1" applyFont="1" applyBorder="1" applyAlignment="1">
      <alignment horizontal="center" vertical="center"/>
    </xf>
    <xf numFmtId="164" fontId="18" fillId="0" borderId="194" xfId="0" applyNumberFormat="1" applyFont="1" applyBorder="1" applyAlignment="1">
      <alignment horizontal="center" vertical="center"/>
    </xf>
    <xf numFmtId="0" fontId="35" fillId="10" borderId="199" xfId="0" applyFont="1" applyFill="1" applyBorder="1" applyAlignment="1">
      <alignment horizontal="left" vertical="top" wrapText="1"/>
    </xf>
    <xf numFmtId="0" fontId="35" fillId="10" borderId="208" xfId="0" applyFont="1" applyFill="1" applyBorder="1" applyAlignment="1">
      <alignment horizontal="left" vertical="top" wrapText="1"/>
    </xf>
    <xf numFmtId="0" fontId="18" fillId="0" borderId="207" xfId="0" applyFont="1" applyBorder="1" applyAlignment="1">
      <alignment horizontal="center" vertical="top" wrapText="1"/>
    </xf>
    <xf numFmtId="0" fontId="18" fillId="0" borderId="190" xfId="0" applyFont="1" applyBorder="1" applyAlignment="1">
      <alignment horizontal="center" vertical="top" wrapText="1"/>
    </xf>
    <xf numFmtId="0" fontId="18" fillId="0" borderId="64" xfId="0" applyFont="1" applyBorder="1" applyAlignment="1">
      <alignment horizontal="left" vertical="top" wrapText="1"/>
    </xf>
    <xf numFmtId="0" fontId="18" fillId="0" borderId="62" xfId="0" applyFont="1" applyBorder="1" applyAlignment="1">
      <alignment horizontal="left" vertical="top" wrapText="1"/>
    </xf>
    <xf numFmtId="9" fontId="18" fillId="0" borderId="149" xfId="0" applyNumberFormat="1" applyFont="1" applyBorder="1" applyAlignment="1">
      <alignment horizontal="center" vertical="center"/>
    </xf>
    <xf numFmtId="9" fontId="18" fillId="0" borderId="150" xfId="0" applyNumberFormat="1" applyFont="1" applyBorder="1" applyAlignment="1">
      <alignment horizontal="center" vertical="center"/>
    </xf>
    <xf numFmtId="0" fontId="16" fillId="0" borderId="94" xfId="0" applyFont="1" applyBorder="1" applyAlignment="1">
      <alignment vertical="center" wrapText="1"/>
    </xf>
    <xf numFmtId="0" fontId="12" fillId="9" borderId="153" xfId="0" applyFont="1" applyFill="1" applyBorder="1" applyAlignment="1">
      <alignment horizontal="center" vertical="center" wrapText="1"/>
    </xf>
    <xf numFmtId="0" fontId="12" fillId="9" borderId="120" xfId="0" applyFont="1" applyFill="1" applyBorder="1" applyAlignment="1">
      <alignment horizontal="center" vertical="center" wrapText="1"/>
    </xf>
    <xf numFmtId="0" fontId="20" fillId="0" borderId="35" xfId="0" applyFont="1" applyBorder="1" applyAlignment="1">
      <alignment horizontal="left" vertical="top" wrapText="1"/>
    </xf>
    <xf numFmtId="0" fontId="12" fillId="9" borderId="119" xfId="0" applyFont="1" applyFill="1" applyBorder="1" applyAlignment="1">
      <alignment horizontal="center" vertical="center"/>
    </xf>
    <xf numFmtId="0" fontId="12" fillId="9" borderId="137" xfId="0" applyFont="1" applyFill="1" applyBorder="1" applyAlignment="1">
      <alignment horizontal="center" vertical="center"/>
    </xf>
    <xf numFmtId="0" fontId="18" fillId="0" borderId="169" xfId="0" applyFont="1" applyBorder="1" applyAlignment="1">
      <alignment horizontal="left" vertical="top" wrapText="1"/>
    </xf>
    <xf numFmtId="0" fontId="18" fillId="0" borderId="134" xfId="0" applyFont="1" applyBorder="1" applyAlignment="1">
      <alignment horizontal="left" vertical="top" wrapText="1"/>
    </xf>
    <xf numFmtId="0" fontId="18" fillId="0" borderId="87" xfId="0" applyFont="1" applyBorder="1" applyAlignment="1">
      <alignment horizontal="left" vertical="top" wrapText="1"/>
    </xf>
    <xf numFmtId="0" fontId="19" fillId="0" borderId="86" xfId="0" applyFont="1" applyBorder="1" applyAlignment="1" applyProtection="1">
      <alignment horizontal="center" vertical="center" wrapText="1"/>
      <protection locked="0" hidden="1"/>
    </xf>
    <xf numFmtId="0" fontId="19" fillId="0" borderId="99" xfId="0" applyFont="1" applyBorder="1" applyAlignment="1" applyProtection="1">
      <alignment horizontal="center" vertical="center" wrapText="1"/>
      <protection locked="0" hidden="1"/>
    </xf>
    <xf numFmtId="164" fontId="18" fillId="0" borderId="157" xfId="0" applyNumberFormat="1" applyFont="1" applyBorder="1" applyAlignment="1">
      <alignment horizontal="center" vertical="center"/>
    </xf>
    <xf numFmtId="164" fontId="18" fillId="0" borderId="159" xfId="0" applyNumberFormat="1" applyFont="1" applyBorder="1" applyAlignment="1">
      <alignment horizontal="center" vertical="center"/>
    </xf>
    <xf numFmtId="0" fontId="18" fillId="0" borderId="143" xfId="0" applyFont="1" applyBorder="1" applyAlignment="1">
      <alignment horizontal="left" vertical="top" wrapText="1"/>
    </xf>
    <xf numFmtId="0" fontId="18" fillId="0" borderId="144" xfId="0" applyFont="1" applyBorder="1" applyAlignment="1">
      <alignment horizontal="left" vertical="top" wrapText="1"/>
    </xf>
    <xf numFmtId="0" fontId="12" fillId="9" borderId="156" xfId="0" applyFont="1" applyFill="1" applyBorder="1" applyAlignment="1">
      <alignment horizontal="center" vertical="center"/>
    </xf>
    <xf numFmtId="0" fontId="16" fillId="0" borderId="178" xfId="0" applyFont="1" applyBorder="1" applyAlignment="1">
      <alignment horizontal="left" vertical="center" wrapText="1"/>
    </xf>
    <xf numFmtId="0" fontId="18" fillId="0" borderId="111" xfId="0" applyFont="1" applyBorder="1" applyAlignment="1">
      <alignment horizontal="left" vertical="top" wrapText="1"/>
    </xf>
    <xf numFmtId="0" fontId="18" fillId="0" borderId="92" xfId="0" applyFont="1" applyBorder="1" applyAlignment="1">
      <alignment horizontal="left" vertical="top" wrapText="1"/>
    </xf>
    <xf numFmtId="0" fontId="16" fillId="0" borderId="149" xfId="0" applyFont="1" applyBorder="1" applyAlignment="1">
      <alignment horizontal="left" vertical="top" wrapText="1"/>
    </xf>
    <xf numFmtId="0" fontId="16" fillId="0" borderId="139" xfId="0" applyFont="1" applyBorder="1" applyAlignment="1">
      <alignment horizontal="left" vertical="top" wrapText="1"/>
    </xf>
    <xf numFmtId="0" fontId="12" fillId="9" borderId="123" xfId="0" applyFont="1" applyFill="1" applyBorder="1" applyAlignment="1">
      <alignment horizontal="center" vertical="center"/>
    </xf>
    <xf numFmtId="0" fontId="12" fillId="9" borderId="98" xfId="0" applyFont="1" applyFill="1" applyBorder="1" applyAlignment="1">
      <alignment horizontal="center" vertical="center"/>
    </xf>
    <xf numFmtId="0" fontId="34" fillId="0" borderId="91" xfId="0" applyFont="1" applyBorder="1" applyAlignment="1">
      <alignment horizontal="left" vertical="center" wrapText="1"/>
    </xf>
    <xf numFmtId="0" fontId="18" fillId="0" borderId="0" xfId="0" applyFont="1" applyAlignment="1">
      <alignment horizontal="left" vertical="top" wrapText="1"/>
    </xf>
    <xf numFmtId="0" fontId="18" fillId="0" borderId="60" xfId="0" applyFont="1" applyBorder="1" applyAlignment="1">
      <alignment horizontal="left" vertical="top" wrapText="1"/>
    </xf>
    <xf numFmtId="165" fontId="19" fillId="0" borderId="77" xfId="0" applyNumberFormat="1" applyFont="1" applyBorder="1" applyAlignment="1" applyProtection="1">
      <alignment horizontal="center" vertical="center" wrapText="1"/>
      <protection hidden="1"/>
    </xf>
    <xf numFmtId="165" fontId="19" fillId="0" borderId="60" xfId="0" applyNumberFormat="1" applyFont="1" applyBorder="1" applyAlignment="1" applyProtection="1">
      <alignment horizontal="center" vertical="center" wrapText="1"/>
      <protection hidden="1"/>
    </xf>
    <xf numFmtId="164" fontId="18" fillId="0" borderId="77" xfId="0" applyNumberFormat="1" applyFont="1" applyBorder="1" applyAlignment="1">
      <alignment horizontal="center" vertical="center"/>
    </xf>
    <xf numFmtId="164" fontId="18" fillId="0" borderId="60" xfId="0" applyNumberFormat="1" applyFont="1" applyBorder="1" applyAlignment="1">
      <alignment horizontal="center" vertical="center"/>
    </xf>
    <xf numFmtId="164" fontId="18" fillId="0" borderId="34" xfId="0" applyNumberFormat="1" applyFont="1" applyBorder="1" applyAlignment="1">
      <alignment horizontal="center" vertical="center"/>
    </xf>
    <xf numFmtId="0" fontId="18" fillId="0" borderId="72" xfId="0" applyFont="1" applyBorder="1" applyAlignment="1">
      <alignment horizontal="left" vertical="top" wrapText="1"/>
    </xf>
    <xf numFmtId="0" fontId="16" fillId="0" borderId="145" xfId="0" applyFont="1" applyBorder="1" applyAlignment="1">
      <alignment horizontal="left" vertical="top" wrapText="1"/>
    </xf>
    <xf numFmtId="0" fontId="34" fillId="0" borderId="117" xfId="0" applyFont="1" applyBorder="1" applyAlignment="1">
      <alignment horizontal="left" vertical="center" wrapText="1"/>
    </xf>
    <xf numFmtId="0" fontId="18" fillId="10" borderId="93" xfId="0" applyFont="1" applyFill="1" applyBorder="1" applyAlignment="1">
      <alignment vertical="center" wrapText="1"/>
    </xf>
    <xf numFmtId="0" fontId="18" fillId="10" borderId="94" xfId="0" applyFont="1" applyFill="1" applyBorder="1" applyAlignment="1">
      <alignment vertical="center" wrapText="1"/>
    </xf>
    <xf numFmtId="0" fontId="12" fillId="9" borderId="40" xfId="0" applyFont="1" applyFill="1" applyBorder="1" applyAlignment="1">
      <alignment horizontal="center" vertical="center" textRotation="90"/>
    </xf>
    <xf numFmtId="0" fontId="12" fillId="9" borderId="105" xfId="0" applyFont="1" applyFill="1" applyBorder="1" applyAlignment="1">
      <alignment horizontal="center" vertical="center"/>
    </xf>
    <xf numFmtId="0" fontId="12" fillId="9" borderId="179" xfId="0" applyFont="1" applyFill="1" applyBorder="1" applyAlignment="1">
      <alignment horizontal="center" vertical="center"/>
    </xf>
    <xf numFmtId="0" fontId="12" fillId="9" borderId="106" xfId="0" applyFont="1" applyFill="1" applyBorder="1" applyAlignment="1">
      <alignment horizontal="center" vertical="center"/>
    </xf>
    <xf numFmtId="0" fontId="35" fillId="0" borderId="157" xfId="0" applyFont="1" applyBorder="1" applyAlignment="1">
      <alignment horizontal="left" vertical="center" wrapText="1"/>
    </xf>
    <xf numFmtId="0" fontId="16" fillId="0" borderId="24" xfId="0" applyFont="1" applyBorder="1" applyAlignment="1">
      <alignment horizontal="left" vertical="center" wrapText="1"/>
    </xf>
    <xf numFmtId="0" fontId="16" fillId="0" borderId="159" xfId="0" applyFont="1" applyBorder="1" applyAlignment="1">
      <alignment horizontal="left" vertical="center" wrapText="1"/>
    </xf>
    <xf numFmtId="0" fontId="18" fillId="0" borderId="111" xfId="0" applyFont="1" applyBorder="1" applyAlignment="1">
      <alignment horizontal="left" vertical="center" wrapText="1"/>
    </xf>
    <xf numFmtId="0" fontId="18" fillId="0" borderId="97" xfId="0" applyFont="1" applyBorder="1" applyAlignment="1">
      <alignment horizontal="left" vertical="center" wrapText="1"/>
    </xf>
    <xf numFmtId="0" fontId="18" fillId="0" borderId="133" xfId="0" applyFont="1" applyBorder="1" applyAlignment="1">
      <alignment horizontal="left" vertical="top" wrapText="1"/>
    </xf>
    <xf numFmtId="0" fontId="18" fillId="0" borderId="67" xfId="0" applyFont="1" applyBorder="1" applyAlignment="1">
      <alignment horizontal="left" vertical="top" wrapText="1"/>
    </xf>
    <xf numFmtId="165" fontId="19" fillId="0" borderId="191" xfId="0" applyNumberFormat="1" applyFont="1" applyBorder="1" applyAlignment="1" applyProtection="1">
      <alignment horizontal="center" vertical="center" wrapText="1"/>
      <protection hidden="1"/>
    </xf>
    <xf numFmtId="165" fontId="19" fillId="0" borderId="187" xfId="0" applyNumberFormat="1" applyFont="1" applyBorder="1" applyAlignment="1" applyProtection="1">
      <alignment horizontal="center" vertical="center" wrapText="1"/>
      <protection hidden="1"/>
    </xf>
    <xf numFmtId="164" fontId="18" fillId="0" borderId="209" xfId="0" applyNumberFormat="1" applyFont="1" applyBorder="1" applyAlignment="1">
      <alignment horizontal="center" vertical="center"/>
    </xf>
    <xf numFmtId="164" fontId="18" fillId="0" borderId="70" xfId="0" applyNumberFormat="1" applyFont="1" applyBorder="1" applyAlignment="1">
      <alignment horizontal="center" vertical="center"/>
    </xf>
    <xf numFmtId="164" fontId="18" fillId="0" borderId="205" xfId="0" applyNumberFormat="1" applyFont="1" applyBorder="1" applyAlignment="1">
      <alignment horizontal="center" vertical="center"/>
    </xf>
    <xf numFmtId="9" fontId="18" fillId="0" borderId="173" xfId="0" applyNumberFormat="1" applyFont="1" applyBorder="1" applyAlignment="1">
      <alignment horizontal="center" vertical="center"/>
    </xf>
    <xf numFmtId="9" fontId="18" fillId="0" borderId="57" xfId="0" applyNumberFormat="1" applyFont="1" applyBorder="1" applyAlignment="1">
      <alignment horizontal="center" vertical="center"/>
    </xf>
    <xf numFmtId="9" fontId="18" fillId="0" borderId="175" xfId="0" applyNumberFormat="1" applyFont="1" applyBorder="1" applyAlignment="1">
      <alignment horizontal="center" vertical="center"/>
    </xf>
    <xf numFmtId="0" fontId="18" fillId="0" borderId="185" xfId="0" applyFont="1" applyBorder="1" applyAlignment="1">
      <alignment horizontal="center" vertical="center" wrapText="1"/>
    </xf>
    <xf numFmtId="164" fontId="18" fillId="0" borderId="65" xfId="0" applyNumberFormat="1" applyFont="1" applyBorder="1" applyAlignment="1">
      <alignment horizontal="center" vertical="center"/>
    </xf>
    <xf numFmtId="9" fontId="18" fillId="0" borderId="63" xfId="0" applyNumberFormat="1" applyFont="1" applyBorder="1" applyAlignment="1">
      <alignment horizontal="center" vertical="center"/>
    </xf>
    <xf numFmtId="9" fontId="18" fillId="0" borderId="61" xfId="0" applyNumberFormat="1" applyFont="1" applyBorder="1" applyAlignment="1">
      <alignment horizontal="center" vertical="center"/>
    </xf>
    <xf numFmtId="164" fontId="18" fillId="0" borderId="69" xfId="0" applyNumberFormat="1" applyFont="1" applyBorder="1" applyAlignment="1">
      <alignment horizontal="center" vertical="center"/>
    </xf>
    <xf numFmtId="164" fontId="18" fillId="0" borderId="73" xfId="0" applyNumberFormat="1" applyFont="1" applyBorder="1" applyAlignment="1">
      <alignment horizontal="center" vertical="center"/>
    </xf>
    <xf numFmtId="9" fontId="18" fillId="0" borderId="35" xfId="0" applyNumberFormat="1" applyFont="1" applyBorder="1" applyAlignment="1">
      <alignment horizontal="center" vertical="center"/>
    </xf>
    <xf numFmtId="0" fontId="12" fillId="9" borderId="184" xfId="0" applyFont="1" applyFill="1" applyBorder="1" applyAlignment="1">
      <alignment horizontal="center" vertical="center"/>
    </xf>
    <xf numFmtId="0" fontId="12" fillId="9" borderId="124" xfId="0" applyFont="1" applyFill="1" applyBorder="1" applyAlignment="1">
      <alignment horizontal="center" vertical="center"/>
    </xf>
    <xf numFmtId="0" fontId="12" fillId="9" borderId="181" xfId="0" applyFont="1" applyFill="1" applyBorder="1" applyAlignment="1">
      <alignment horizontal="center" vertical="center"/>
    </xf>
    <xf numFmtId="0" fontId="12" fillId="9" borderId="184" xfId="0" applyFont="1" applyFill="1" applyBorder="1" applyAlignment="1">
      <alignment horizontal="center" vertical="center" wrapText="1"/>
    </xf>
    <xf numFmtId="0" fontId="12" fillId="9" borderId="181" xfId="0" applyFont="1" applyFill="1" applyBorder="1" applyAlignment="1">
      <alignment horizontal="center" vertical="center" wrapText="1"/>
    </xf>
    <xf numFmtId="0" fontId="12" fillId="9" borderId="124" xfId="0" applyFont="1" applyFill="1" applyBorder="1" applyAlignment="1">
      <alignment horizontal="center" vertical="center" wrapText="1"/>
    </xf>
    <xf numFmtId="0" fontId="18" fillId="0" borderId="103" xfId="0" applyFont="1" applyBorder="1" applyAlignment="1">
      <alignment horizontal="left" vertical="center" wrapText="1"/>
    </xf>
    <xf numFmtId="0" fontId="18" fillId="0" borderId="104" xfId="0" applyFont="1" applyBorder="1" applyAlignment="1">
      <alignment horizontal="left" vertical="center" wrapText="1"/>
    </xf>
    <xf numFmtId="0" fontId="16" fillId="0" borderId="147" xfId="0" applyFont="1" applyBorder="1" applyAlignment="1">
      <alignment horizontal="left" vertical="top" wrapText="1"/>
    </xf>
    <xf numFmtId="0" fontId="16" fillId="0" borderId="51" xfId="0" applyFont="1" applyBorder="1" applyAlignment="1">
      <alignment horizontal="left" vertical="top" wrapText="1"/>
    </xf>
    <xf numFmtId="165" fontId="19" fillId="0" borderId="140" xfId="0" applyNumberFormat="1" applyFont="1" applyBorder="1" applyAlignment="1" applyProtection="1">
      <alignment horizontal="center" vertical="center" wrapText="1"/>
      <protection hidden="1"/>
    </xf>
    <xf numFmtId="165" fontId="19" fillId="0" borderId="3" xfId="0" applyNumberFormat="1" applyFont="1" applyBorder="1" applyAlignment="1" applyProtection="1">
      <alignment horizontal="center" vertical="center" wrapText="1"/>
      <protection hidden="1"/>
    </xf>
    <xf numFmtId="0" fontId="18" fillId="0" borderId="113" xfId="0" applyFont="1" applyBorder="1" applyAlignment="1">
      <alignment horizontal="center" vertical="center" wrapText="1"/>
    </xf>
    <xf numFmtId="0" fontId="18" fillId="0" borderId="161" xfId="0" applyFont="1" applyBorder="1" applyAlignment="1">
      <alignment horizontal="center" vertical="center" wrapText="1"/>
    </xf>
    <xf numFmtId="0" fontId="18" fillId="0" borderId="94" xfId="0" applyFont="1" applyBorder="1" applyAlignment="1">
      <alignment horizontal="center" vertical="center" wrapText="1"/>
    </xf>
    <xf numFmtId="9" fontId="18" fillId="0" borderId="9" xfId="0" applyNumberFormat="1" applyFont="1" applyBorder="1" applyAlignment="1">
      <alignment horizontal="center" vertical="center"/>
    </xf>
    <xf numFmtId="0" fontId="18" fillId="0" borderId="121" xfId="0" applyFont="1" applyBorder="1" applyAlignment="1">
      <alignment horizontal="center" vertical="center" wrapText="1"/>
    </xf>
    <xf numFmtId="0" fontId="18" fillId="0" borderId="115" xfId="0" applyFont="1" applyBorder="1" applyAlignment="1">
      <alignment horizontal="center" vertical="center" wrapText="1"/>
    </xf>
    <xf numFmtId="0" fontId="18" fillId="0" borderId="122" xfId="0" applyFont="1" applyBorder="1" applyAlignment="1">
      <alignment horizontal="center" vertical="center" wrapText="1"/>
    </xf>
    <xf numFmtId="0" fontId="0" fillId="0" borderId="153" xfId="0" applyBorder="1" applyAlignment="1">
      <alignment horizontal="center" vertical="center" wrapText="1"/>
    </xf>
    <xf numFmtId="0" fontId="0" fillId="0" borderId="120" xfId="0" applyBorder="1" applyAlignment="1">
      <alignment horizontal="center" vertical="center" wrapText="1"/>
    </xf>
    <xf numFmtId="0" fontId="35" fillId="10" borderId="21" xfId="0" applyFont="1" applyFill="1" applyBorder="1" applyAlignment="1">
      <alignment horizontal="left" vertical="center" wrapText="1"/>
    </xf>
    <xf numFmtId="0" fontId="35" fillId="10" borderId="39" xfId="0" applyFont="1" applyFill="1" applyBorder="1" applyAlignment="1">
      <alignment horizontal="left" vertical="center" wrapText="1"/>
    </xf>
    <xf numFmtId="0" fontId="18" fillId="10" borderId="23" xfId="0" applyFont="1" applyFill="1" applyBorder="1" applyAlignment="1">
      <alignment horizontal="left" vertical="top" wrapText="1"/>
    </xf>
    <xf numFmtId="0" fontId="18" fillId="10" borderId="52" xfId="0" applyFont="1" applyFill="1" applyBorder="1" applyAlignment="1">
      <alignment horizontal="left" vertical="top" wrapText="1"/>
    </xf>
    <xf numFmtId="0" fontId="18" fillId="0" borderId="15" xfId="0" applyFont="1" applyBorder="1" applyAlignment="1">
      <alignment horizontal="left" vertical="top" wrapText="1"/>
    </xf>
    <xf numFmtId="0" fontId="18" fillId="0" borderId="40" xfId="0" applyFont="1" applyBorder="1" applyAlignment="1">
      <alignment horizontal="left" vertical="top" wrapText="1"/>
    </xf>
    <xf numFmtId="0" fontId="18" fillId="0" borderId="14" xfId="0" applyFont="1" applyBorder="1" applyAlignment="1">
      <alignment horizontal="left" vertical="top" wrapText="1"/>
    </xf>
    <xf numFmtId="0" fontId="18" fillId="0" borderId="37" xfId="0" applyFont="1" applyBorder="1" applyAlignment="1">
      <alignment horizontal="left" vertical="top" wrapText="1"/>
    </xf>
    <xf numFmtId="0" fontId="12" fillId="9" borderId="112" xfId="0" applyFont="1" applyFill="1" applyBorder="1" applyAlignment="1">
      <alignment horizontal="center" vertical="center"/>
    </xf>
    <xf numFmtId="0" fontId="18" fillId="0" borderId="86" xfId="0" applyFont="1" applyBorder="1" applyAlignment="1">
      <alignment horizontal="left" vertical="center" wrapText="1"/>
    </xf>
    <xf numFmtId="0" fontId="0" fillId="0" borderId="89" xfId="0" applyBorder="1" applyAlignment="1">
      <alignment wrapText="1"/>
    </xf>
    <xf numFmtId="0" fontId="0" fillId="0" borderId="125" xfId="0" applyBorder="1" applyAlignment="1">
      <alignment wrapText="1"/>
    </xf>
    <xf numFmtId="0" fontId="18" fillId="0" borderId="88" xfId="0" applyFont="1" applyBorder="1" applyAlignment="1">
      <alignment horizontal="left" vertical="center" wrapText="1"/>
    </xf>
    <xf numFmtId="0" fontId="0" fillId="0" borderId="90" xfId="0" applyBorder="1" applyAlignment="1">
      <alignment wrapText="1"/>
    </xf>
    <xf numFmtId="0" fontId="0" fillId="0" borderId="100" xfId="0" applyBorder="1" applyAlignment="1">
      <alignment wrapText="1"/>
    </xf>
    <xf numFmtId="0" fontId="35" fillId="10" borderId="157" xfId="0" applyFont="1" applyFill="1" applyBorder="1" applyAlignment="1">
      <alignment horizontal="left" vertical="center" wrapText="1"/>
    </xf>
    <xf numFmtId="0" fontId="18" fillId="10" borderId="24" xfId="0" applyFont="1" applyFill="1" applyBorder="1" applyAlignment="1">
      <alignment horizontal="left" vertical="center" wrapText="1"/>
    </xf>
    <xf numFmtId="0" fontId="18" fillId="10" borderId="39" xfId="0" applyFont="1" applyFill="1" applyBorder="1" applyAlignment="1">
      <alignment horizontal="left" vertical="center" wrapText="1"/>
    </xf>
    <xf numFmtId="0" fontId="35" fillId="10" borderId="147" xfId="0" applyFont="1" applyFill="1" applyBorder="1" applyAlignment="1">
      <alignment vertical="center" wrapText="1"/>
    </xf>
    <xf numFmtId="0" fontId="18" fillId="10" borderId="51" xfId="0" applyFont="1" applyFill="1" applyBorder="1" applyAlignment="1">
      <alignment vertical="center" wrapText="1"/>
    </xf>
    <xf numFmtId="0" fontId="18" fillId="10" borderId="52" xfId="0" applyFont="1" applyFill="1" applyBorder="1" applyAlignment="1">
      <alignment vertical="center" wrapText="1"/>
    </xf>
    <xf numFmtId="0" fontId="16" fillId="0" borderId="140" xfId="0" applyFont="1" applyBorder="1" applyAlignment="1">
      <alignment horizontal="left" vertical="top" wrapText="1"/>
    </xf>
    <xf numFmtId="0" fontId="16" fillId="0" borderId="3" xfId="0" applyFont="1" applyBorder="1" applyAlignment="1">
      <alignment horizontal="left" vertical="top" wrapText="1"/>
    </xf>
    <xf numFmtId="0" fontId="20" fillId="0" borderId="35" xfId="0" applyFont="1" applyBorder="1" applyAlignment="1">
      <alignment horizontal="center" vertical="top" wrapText="1"/>
    </xf>
    <xf numFmtId="0" fontId="20" fillId="0" borderId="149" xfId="0" applyFont="1" applyBorder="1" applyAlignment="1">
      <alignment horizontal="center" vertical="top" wrapText="1"/>
    </xf>
    <xf numFmtId="0" fontId="20" fillId="0" borderId="150" xfId="0" applyFont="1" applyBorder="1" applyAlignment="1">
      <alignment horizontal="center" vertical="top" wrapText="1"/>
    </xf>
    <xf numFmtId="0" fontId="18" fillId="0" borderId="101" xfId="0" applyFont="1" applyBorder="1" applyAlignment="1">
      <alignment horizontal="left" vertical="center" wrapText="1"/>
    </xf>
    <xf numFmtId="0" fontId="0" fillId="0" borderId="183" xfId="0" applyBorder="1" applyAlignment="1">
      <alignment wrapText="1"/>
    </xf>
    <xf numFmtId="0" fontId="0" fillId="0" borderId="102" xfId="0" applyBorder="1" applyAlignment="1">
      <alignment wrapText="1"/>
    </xf>
    <xf numFmtId="0" fontId="16" fillId="0" borderId="36" xfId="0" applyFont="1" applyBorder="1" applyAlignment="1">
      <alignment vertical="center" wrapText="1"/>
    </xf>
    <xf numFmtId="0" fontId="12" fillId="9" borderId="180" xfId="0" applyFont="1" applyFill="1" applyBorder="1" applyAlignment="1">
      <alignment horizontal="center" vertical="center"/>
    </xf>
    <xf numFmtId="0" fontId="35" fillId="10" borderId="149" xfId="0" applyFont="1" applyFill="1" applyBorder="1" applyAlignment="1">
      <alignment horizontal="left" vertical="center" wrapText="1"/>
    </xf>
    <xf numFmtId="0" fontId="35" fillId="10" borderId="159" xfId="0" applyFont="1" applyFill="1" applyBorder="1" applyAlignment="1">
      <alignment horizontal="left" vertical="center" wrapText="1"/>
    </xf>
    <xf numFmtId="0" fontId="18" fillId="10" borderId="145" xfId="0" applyFont="1" applyFill="1" applyBorder="1" applyAlignment="1">
      <alignment vertical="center" wrapText="1"/>
    </xf>
    <xf numFmtId="0" fontId="18" fillId="10" borderId="155" xfId="0" applyFont="1" applyFill="1" applyBorder="1" applyAlignment="1">
      <alignment vertical="center" wrapText="1"/>
    </xf>
    <xf numFmtId="0" fontId="18" fillId="0" borderId="170" xfId="0" applyFont="1" applyBorder="1" applyAlignment="1">
      <alignment horizontal="left" vertical="top" wrapText="1"/>
    </xf>
    <xf numFmtId="0" fontId="18" fillId="0" borderId="171" xfId="0" applyFont="1" applyBorder="1" applyAlignment="1">
      <alignment horizontal="left" vertical="top" wrapText="1"/>
    </xf>
    <xf numFmtId="0" fontId="18" fillId="0" borderId="142" xfId="0" applyFont="1" applyBorder="1" applyAlignment="1">
      <alignment horizontal="left" vertical="top" wrapText="1"/>
    </xf>
    <xf numFmtId="0" fontId="19" fillId="0" borderId="149" xfId="0" applyFont="1" applyBorder="1" applyAlignment="1" applyProtection="1">
      <alignment horizontal="center" vertical="center" wrapText="1"/>
      <protection locked="0" hidden="1"/>
    </xf>
    <xf numFmtId="0" fontId="19" fillId="0" borderId="159" xfId="0" applyFont="1" applyBorder="1" applyAlignment="1" applyProtection="1">
      <alignment horizontal="center" vertical="center" wrapText="1"/>
      <protection locked="0" hidden="1"/>
    </xf>
    <xf numFmtId="165" fontId="19" fillId="0" borderId="142" xfId="0" applyNumberFormat="1" applyFont="1" applyBorder="1" applyAlignment="1" applyProtection="1">
      <alignment horizontal="center" vertical="center" wrapText="1"/>
      <protection hidden="1"/>
    </xf>
    <xf numFmtId="164" fontId="18" fillId="0" borderId="141" xfId="0" applyNumberFormat="1" applyFont="1" applyBorder="1" applyAlignment="1">
      <alignment horizontal="center" vertical="center"/>
    </xf>
    <xf numFmtId="0" fontId="18" fillId="0" borderId="163" xfId="0" applyFont="1" applyBorder="1" applyAlignment="1">
      <alignment horizontal="left" vertical="top" wrapText="1"/>
    </xf>
    <xf numFmtId="0" fontId="18" fillId="0" borderId="96" xfId="0" applyFont="1" applyBorder="1" applyAlignment="1">
      <alignment horizontal="left" vertical="top" wrapText="1"/>
    </xf>
    <xf numFmtId="0" fontId="35" fillId="10" borderId="35" xfId="0" applyFont="1" applyFill="1" applyBorder="1" applyAlignment="1">
      <alignment horizontal="left" vertical="center" wrapText="1"/>
    </xf>
    <xf numFmtId="0" fontId="16" fillId="10" borderId="2" xfId="0" applyFont="1" applyFill="1" applyBorder="1" applyAlignment="1">
      <alignment vertical="center" wrapText="1"/>
    </xf>
    <xf numFmtId="0" fontId="16" fillId="10" borderId="68" xfId="0" applyFont="1" applyFill="1" applyBorder="1" applyAlignment="1">
      <alignment vertical="center" wrapText="1"/>
    </xf>
    <xf numFmtId="0" fontId="16" fillId="0" borderId="76" xfId="0" applyFont="1" applyBorder="1" applyAlignment="1">
      <alignment horizontal="left" vertical="top" wrapText="1"/>
    </xf>
    <xf numFmtId="0" fontId="16" fillId="0" borderId="75" xfId="0" applyFont="1" applyBorder="1" applyAlignment="1">
      <alignment horizontal="left" vertical="top" wrapText="1"/>
    </xf>
    <xf numFmtId="0" fontId="16" fillId="0" borderId="83" xfId="0" applyFont="1" applyBorder="1" applyAlignment="1">
      <alignment horizontal="left" vertical="top" wrapText="1"/>
    </xf>
    <xf numFmtId="0" fontId="19" fillId="0" borderId="39" xfId="0" applyFont="1" applyBorder="1" applyAlignment="1" applyProtection="1">
      <alignment horizontal="center" vertical="center" wrapText="1"/>
      <protection locked="0" hidden="1"/>
    </xf>
    <xf numFmtId="0" fontId="18" fillId="0" borderId="13" xfId="0" applyFont="1" applyBorder="1" applyAlignment="1">
      <alignment vertical="center" wrapText="1"/>
    </xf>
    <xf numFmtId="0" fontId="18" fillId="0" borderId="36" xfId="0" applyFont="1" applyBorder="1" applyAlignment="1">
      <alignment vertical="center" wrapText="1"/>
    </xf>
    <xf numFmtId="0" fontId="18" fillId="10" borderId="149" xfId="0" applyFont="1" applyFill="1" applyBorder="1" applyAlignment="1">
      <alignment horizontal="left" vertical="center" wrapText="1"/>
    </xf>
    <xf numFmtId="0" fontId="18" fillId="10" borderId="159" xfId="0" applyFont="1" applyFill="1" applyBorder="1" applyAlignment="1">
      <alignment horizontal="left" vertical="center" wrapText="1"/>
    </xf>
    <xf numFmtId="0" fontId="18" fillId="0" borderId="145" xfId="0" applyFont="1" applyBorder="1" applyAlignment="1">
      <alignment vertical="center" wrapText="1"/>
    </xf>
    <xf numFmtId="0" fontId="18" fillId="0" borderId="155" xfId="0" applyFont="1" applyBorder="1" applyAlignment="1">
      <alignment vertical="center" wrapText="1"/>
    </xf>
    <xf numFmtId="0" fontId="20" fillId="0" borderId="166" xfId="0" applyFont="1" applyBorder="1" applyAlignment="1">
      <alignment horizontal="left" vertical="top" wrapText="1"/>
    </xf>
    <xf numFmtId="0" fontId="20" fillId="0" borderId="167" xfId="0" applyFont="1" applyBorder="1" applyAlignment="1">
      <alignment horizontal="left" vertical="top" wrapText="1"/>
    </xf>
    <xf numFmtId="0" fontId="20" fillId="0" borderId="76" xfId="0" applyFont="1" applyBorder="1" applyAlignment="1">
      <alignment horizontal="left" vertical="top" wrapText="1"/>
    </xf>
    <xf numFmtId="0" fontId="20" fillId="0" borderId="83" xfId="0" applyFont="1" applyBorder="1" applyAlignment="1">
      <alignment horizontal="left" vertical="top" wrapText="1"/>
    </xf>
    <xf numFmtId="0" fontId="35" fillId="0" borderId="35" xfId="0" applyFont="1" applyBorder="1" applyAlignment="1">
      <alignment horizontal="left" vertical="center" wrapText="1"/>
    </xf>
    <xf numFmtId="0" fontId="35" fillId="0" borderId="39" xfId="0" applyFont="1" applyBorder="1" applyAlignment="1">
      <alignment horizontal="left" vertical="center" wrapText="1"/>
    </xf>
    <xf numFmtId="0" fontId="18" fillId="10" borderId="2" xfId="0" applyFont="1" applyFill="1" applyBorder="1" applyAlignment="1">
      <alignment vertical="center" wrapText="1"/>
    </xf>
    <xf numFmtId="0" fontId="18" fillId="0" borderId="2" xfId="0" applyFont="1" applyBorder="1" applyAlignment="1">
      <alignment vertical="center" wrapText="1"/>
    </xf>
    <xf numFmtId="0" fontId="18" fillId="0" borderId="52" xfId="0" applyFont="1" applyBorder="1" applyAlignment="1">
      <alignment vertical="center" wrapText="1"/>
    </xf>
    <xf numFmtId="0" fontId="35" fillId="0" borderId="149" xfId="0" applyFont="1" applyBorder="1" applyAlignment="1">
      <alignment horizontal="left" vertical="center" wrapText="1"/>
    </xf>
    <xf numFmtId="0" fontId="35" fillId="0" borderId="159" xfId="0" applyFont="1" applyBorder="1" applyAlignment="1">
      <alignment horizontal="left" vertical="center" wrapText="1"/>
    </xf>
    <xf numFmtId="0" fontId="18" fillId="0" borderId="38" xfId="0" applyFont="1" applyBorder="1" applyAlignment="1">
      <alignment vertical="center" wrapText="1"/>
    </xf>
    <xf numFmtId="0" fontId="19" fillId="0" borderId="150" xfId="0" applyFont="1" applyBorder="1" applyAlignment="1" applyProtection="1">
      <alignment horizontal="center" vertical="center" wrapText="1"/>
      <protection locked="0" hidden="1"/>
    </xf>
    <xf numFmtId="0" fontId="18" fillId="0" borderId="168" xfId="0" applyFont="1" applyBorder="1" applyAlignment="1">
      <alignment horizontal="left" vertical="top" wrapText="1"/>
    </xf>
    <xf numFmtId="0" fontId="18" fillId="0" borderId="35" xfId="0" applyFont="1" applyBorder="1" applyAlignment="1">
      <alignment horizontal="left" vertical="center" wrapText="1"/>
    </xf>
    <xf numFmtId="0" fontId="18" fillId="0" borderId="39" xfId="0" applyFont="1" applyBorder="1" applyAlignment="1">
      <alignment horizontal="left" vertical="center" wrapText="1"/>
    </xf>
    <xf numFmtId="0" fontId="18" fillId="0" borderId="76" xfId="0" applyFont="1" applyBorder="1" applyAlignment="1">
      <alignment horizontal="left" vertical="top" wrapText="1"/>
    </xf>
    <xf numFmtId="0" fontId="18" fillId="0" borderId="83" xfId="0" applyFont="1" applyBorder="1" applyAlignment="1">
      <alignment horizontal="left" vertical="top" wrapText="1"/>
    </xf>
    <xf numFmtId="0" fontId="18" fillId="0" borderId="149" xfId="0" applyFont="1" applyBorder="1" applyAlignment="1">
      <alignment horizontal="left" vertical="center" wrapText="1"/>
    </xf>
    <xf numFmtId="0" fontId="18" fillId="0" borderId="150" xfId="0" applyFont="1" applyBorder="1" applyAlignment="1">
      <alignment horizontal="left" vertical="center" wrapText="1"/>
    </xf>
    <xf numFmtId="0" fontId="18" fillId="0" borderId="146" xfId="0" applyFont="1" applyBorder="1" applyAlignment="1">
      <alignment vertical="center" wrapText="1"/>
    </xf>
    <xf numFmtId="0" fontId="18" fillId="0" borderId="166" xfId="0" applyFont="1" applyBorder="1" applyAlignment="1">
      <alignment horizontal="left" vertical="top" wrapText="1"/>
    </xf>
    <xf numFmtId="0" fontId="18" fillId="0" borderId="164" xfId="0" applyFont="1" applyBorder="1" applyAlignment="1">
      <alignment horizontal="left" vertical="top" wrapText="1"/>
    </xf>
    <xf numFmtId="0" fontId="20" fillId="0" borderId="165" xfId="0" applyFont="1" applyBorder="1" applyAlignment="1">
      <alignment horizontal="left" vertical="top" wrapText="1"/>
    </xf>
    <xf numFmtId="0" fontId="18" fillId="0" borderId="167" xfId="0" applyFont="1" applyBorder="1" applyAlignment="1">
      <alignment horizontal="left" vertical="top" wrapText="1"/>
    </xf>
    <xf numFmtId="0" fontId="18" fillId="0" borderId="159" xfId="0" applyFont="1" applyBorder="1" applyAlignment="1">
      <alignment horizontal="left" vertical="top" wrapText="1"/>
    </xf>
    <xf numFmtId="0" fontId="25" fillId="0" borderId="21" xfId="0" applyFont="1" applyBorder="1" applyAlignment="1">
      <alignment horizontal="left" vertical="center" wrapText="1"/>
    </xf>
    <xf numFmtId="0" fontId="25" fillId="0" borderId="39" xfId="0" applyFont="1" applyBorder="1" applyAlignment="1">
      <alignment horizontal="left" vertical="center" wrapText="1"/>
    </xf>
    <xf numFmtId="0" fontId="18" fillId="0" borderId="23" xfId="0" applyFont="1" applyBorder="1" applyAlignment="1">
      <alignment vertical="center" wrapText="1"/>
    </xf>
    <xf numFmtId="0" fontId="34" fillId="0" borderId="157" xfId="0" applyFont="1" applyBorder="1" applyAlignment="1">
      <alignment horizontal="left" vertical="center" wrapText="1"/>
    </xf>
    <xf numFmtId="0" fontId="34" fillId="0" borderId="159" xfId="0" applyFont="1" applyBorder="1" applyAlignment="1">
      <alignment horizontal="left" vertical="center" wrapText="1"/>
    </xf>
    <xf numFmtId="0" fontId="18" fillId="0" borderId="147" xfId="0" applyFont="1" applyBorder="1" applyAlignment="1">
      <alignment vertical="center" wrapText="1"/>
    </xf>
    <xf numFmtId="0" fontId="25" fillId="10" borderId="157" xfId="0" applyFont="1" applyFill="1" applyBorder="1" applyAlignment="1">
      <alignment horizontal="left" vertical="center" wrapText="1"/>
    </xf>
    <xf numFmtId="0" fontId="25" fillId="10" borderId="159" xfId="0" applyFont="1" applyFill="1" applyBorder="1" applyAlignment="1">
      <alignment horizontal="left" vertical="center" wrapText="1"/>
    </xf>
    <xf numFmtId="0" fontId="18" fillId="10" borderId="147" xfId="0" applyFont="1" applyFill="1" applyBorder="1" applyAlignment="1">
      <alignment vertical="center" wrapText="1"/>
    </xf>
    <xf numFmtId="0" fontId="18" fillId="10" borderId="146" xfId="0" applyFont="1" applyFill="1" applyBorder="1" applyAlignment="1">
      <alignment vertical="center" wrapText="1"/>
    </xf>
    <xf numFmtId="0" fontId="25" fillId="0" borderId="22" xfId="0" applyFont="1" applyBorder="1" applyAlignment="1">
      <alignment horizontal="left" vertical="center" wrapText="1"/>
    </xf>
    <xf numFmtId="0" fontId="25" fillId="0" borderId="182" xfId="0" applyFont="1" applyBorder="1" applyAlignment="1">
      <alignment horizontal="left" vertical="center" wrapText="1"/>
    </xf>
    <xf numFmtId="0" fontId="18" fillId="0" borderId="2" xfId="0" applyFont="1" applyBorder="1" applyAlignment="1">
      <alignment horizontal="left" vertical="center" wrapText="1"/>
    </xf>
    <xf numFmtId="0" fontId="18" fillId="0" borderId="52" xfId="0" applyFont="1" applyBorder="1" applyAlignment="1">
      <alignment horizontal="left" vertical="center" wrapText="1"/>
    </xf>
    <xf numFmtId="0" fontId="25" fillId="0" borderId="157" xfId="0" applyFont="1" applyBorder="1" applyAlignment="1">
      <alignment horizontal="left" vertical="center" wrapText="1"/>
    </xf>
    <xf numFmtId="0" fontId="25" fillId="0" borderId="159" xfId="0" applyFont="1" applyBorder="1" applyAlignment="1">
      <alignment horizontal="left" vertical="center" wrapText="1"/>
    </xf>
    <xf numFmtId="0" fontId="18" fillId="0" borderId="145" xfId="0" applyFont="1" applyBorder="1" applyAlignment="1">
      <alignment horizontal="left" vertical="center" wrapText="1"/>
    </xf>
    <xf numFmtId="0" fontId="18" fillId="0" borderId="155" xfId="0" applyFont="1" applyBorder="1" applyAlignment="1">
      <alignment horizontal="left" vertical="center" wrapText="1"/>
    </xf>
    <xf numFmtId="0" fontId="18" fillId="0" borderId="162" xfId="0" applyFont="1" applyBorder="1" applyAlignment="1">
      <alignment horizontal="left" vertical="top" wrapText="1"/>
    </xf>
    <xf numFmtId="0" fontId="16" fillId="0" borderId="38" xfId="0" applyFont="1" applyBorder="1" applyAlignment="1">
      <alignment vertical="center" wrapText="1"/>
    </xf>
    <xf numFmtId="0" fontId="12" fillId="9" borderId="81" xfId="0" applyFont="1" applyFill="1" applyBorder="1" applyAlignment="1">
      <alignment horizontal="center" vertical="center" textRotation="90"/>
    </xf>
    <xf numFmtId="0" fontId="12" fillId="13" borderId="74" xfId="0" applyFont="1" applyFill="1" applyBorder="1" applyAlignment="1">
      <alignment horizontal="center" vertical="center"/>
    </xf>
    <xf numFmtId="0" fontId="34" fillId="0" borderId="35" xfId="0" applyFont="1" applyBorder="1" applyAlignment="1">
      <alignment horizontal="left" vertical="center" wrapText="1"/>
    </xf>
    <xf numFmtId="0" fontId="34" fillId="0" borderId="39" xfId="0" applyFont="1" applyBorder="1" applyAlignment="1">
      <alignment horizontal="left" vertical="center" wrapText="1"/>
    </xf>
    <xf numFmtId="0" fontId="18" fillId="0" borderId="52" xfId="0" applyFont="1" applyBorder="1" applyAlignment="1">
      <alignment horizontal="left" vertical="top" wrapText="1"/>
    </xf>
    <xf numFmtId="0" fontId="16" fillId="0" borderId="165" xfId="0" applyFont="1" applyBorder="1" applyAlignment="1">
      <alignment horizontal="left" vertical="top" wrapText="1"/>
    </xf>
    <xf numFmtId="0" fontId="16" fillId="0" borderId="39" xfId="0" applyFont="1" applyBorder="1" applyAlignment="1">
      <alignment horizontal="left" vertical="top" wrapText="1"/>
    </xf>
    <xf numFmtId="0" fontId="18" fillId="0" borderId="157" xfId="0" applyFont="1" applyBorder="1" applyAlignment="1">
      <alignment horizontal="left" vertical="center" wrapText="1"/>
    </xf>
    <xf numFmtId="0" fontId="18" fillId="0" borderId="159" xfId="0" applyFont="1" applyBorder="1" applyAlignment="1">
      <alignment horizontal="left" vertical="center" wrapText="1"/>
    </xf>
    <xf numFmtId="0" fontId="35" fillId="10" borderId="150" xfId="0" applyFont="1" applyFill="1" applyBorder="1" applyAlignment="1">
      <alignment horizontal="left" vertical="center" wrapText="1"/>
    </xf>
    <xf numFmtId="0" fontId="18" fillId="10" borderId="145" xfId="0" applyFont="1" applyFill="1" applyBorder="1" applyAlignment="1">
      <alignment horizontal="left" vertical="top" wrapText="1"/>
    </xf>
    <xf numFmtId="0" fontId="18" fillId="10" borderId="2" xfId="0" applyFont="1" applyFill="1" applyBorder="1" applyAlignment="1">
      <alignment horizontal="left" vertical="top" wrapText="1"/>
    </xf>
    <xf numFmtId="0" fontId="18" fillId="10" borderId="146" xfId="0" applyFont="1" applyFill="1" applyBorder="1" applyAlignment="1">
      <alignment horizontal="left" vertical="top" wrapText="1"/>
    </xf>
    <xf numFmtId="0" fontId="18" fillId="0" borderId="41" xfId="0" applyFont="1" applyBorder="1" applyAlignment="1">
      <alignment horizontal="left" vertical="top" wrapText="1"/>
    </xf>
    <xf numFmtId="0" fontId="18" fillId="0" borderId="129" xfId="0" applyFont="1" applyBorder="1" applyAlignment="1">
      <alignment horizontal="left" vertical="center" wrapText="1"/>
    </xf>
    <xf numFmtId="0" fontId="0" fillId="0" borderId="127" xfId="0" applyBorder="1" applyAlignment="1">
      <alignment wrapText="1"/>
    </xf>
    <xf numFmtId="0" fontId="0" fillId="0" borderId="135" xfId="0" applyBorder="1" applyAlignment="1">
      <alignment wrapText="1"/>
    </xf>
    <xf numFmtId="0" fontId="35" fillId="0" borderId="103" xfId="0" applyFont="1" applyBorder="1" applyAlignment="1">
      <alignment wrapText="1"/>
    </xf>
    <xf numFmtId="0" fontId="38" fillId="0" borderId="217" xfId="0" applyFont="1" applyBorder="1" applyAlignment="1">
      <alignment wrapText="1"/>
    </xf>
    <xf numFmtId="0" fontId="38" fillId="0" borderId="104" xfId="0" applyFont="1" applyBorder="1" applyAlignment="1">
      <alignment wrapText="1"/>
    </xf>
    <xf numFmtId="0" fontId="35" fillId="0" borderId="88" xfId="0" applyFont="1" applyBorder="1" applyAlignment="1">
      <alignment wrapText="1"/>
    </xf>
    <xf numFmtId="0" fontId="38" fillId="0" borderId="90" xfId="0" applyFont="1" applyBorder="1" applyAlignment="1">
      <alignment wrapText="1"/>
    </xf>
    <xf numFmtId="0" fontId="38" fillId="0" borderId="100" xfId="0" applyFont="1" applyBorder="1" applyAlignment="1">
      <alignment wrapText="1"/>
    </xf>
    <xf numFmtId="0" fontId="18" fillId="0" borderId="131" xfId="0" applyFont="1" applyBorder="1" applyAlignment="1">
      <alignment horizontal="left" vertical="center" wrapText="1"/>
    </xf>
    <xf numFmtId="0" fontId="0" fillId="0" borderId="126" xfId="0" applyBorder="1" applyAlignment="1">
      <alignment wrapText="1"/>
    </xf>
    <xf numFmtId="0" fontId="18" fillId="0" borderId="23" xfId="0" applyFont="1" applyBorder="1" applyAlignment="1">
      <alignment horizontal="left" vertical="top" wrapText="1"/>
    </xf>
    <xf numFmtId="164" fontId="18" fillId="0" borderId="139" xfId="0" applyNumberFormat="1" applyFont="1" applyBorder="1" applyAlignment="1">
      <alignment horizontal="center" vertical="center"/>
    </xf>
    <xf numFmtId="0" fontId="18" fillId="0" borderId="11" xfId="0" applyFont="1" applyBorder="1" applyAlignment="1">
      <alignment vertical="center" wrapText="1"/>
    </xf>
    <xf numFmtId="0" fontId="20" fillId="0" borderId="41" xfId="0" applyFont="1" applyBorder="1" applyAlignment="1">
      <alignment horizontal="left" vertical="top" wrapText="1"/>
    </xf>
    <xf numFmtId="0" fontId="19" fillId="0" borderId="33" xfId="0" applyFont="1" applyBorder="1" applyAlignment="1" applyProtection="1">
      <alignment horizontal="center" vertical="center" wrapText="1"/>
      <protection locked="0" hidden="1"/>
    </xf>
    <xf numFmtId="164" fontId="18" fillId="0" borderId="9" xfId="0" applyNumberFormat="1" applyFont="1" applyBorder="1" applyAlignment="1">
      <alignment horizontal="center" vertical="center"/>
    </xf>
    <xf numFmtId="0" fontId="18" fillId="0" borderId="8" xfId="0" applyFont="1" applyBorder="1" applyAlignment="1">
      <alignment vertical="center" wrapText="1"/>
    </xf>
    <xf numFmtId="0" fontId="12" fillId="9" borderId="40" xfId="0" applyFont="1" applyFill="1" applyBorder="1" applyAlignment="1">
      <alignment horizontal="center" vertical="center" wrapText="1"/>
    </xf>
    <xf numFmtId="0" fontId="12" fillId="9" borderId="41"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9" xfId="0" applyFont="1" applyBorder="1" applyAlignment="1">
      <alignment horizontal="left" vertical="center" wrapText="1"/>
    </xf>
    <xf numFmtId="0" fontId="20" fillId="0" borderId="40" xfId="0" applyFont="1" applyBorder="1" applyAlignment="1">
      <alignment horizontal="left" vertical="top" wrapText="1"/>
    </xf>
    <xf numFmtId="0" fontId="18" fillId="0" borderId="18" xfId="0" applyFont="1" applyBorder="1" applyAlignment="1">
      <alignment horizontal="left" vertical="top" wrapText="1"/>
    </xf>
    <xf numFmtId="0" fontId="18" fillId="0" borderId="17" xfId="0" applyFont="1" applyBorder="1" applyAlignment="1">
      <alignment horizontal="left" vertical="top" wrapText="1"/>
    </xf>
    <xf numFmtId="0" fontId="18" fillId="0" borderId="16" xfId="0" applyFont="1" applyBorder="1" applyAlignment="1">
      <alignment horizontal="left" vertical="top" wrapText="1"/>
    </xf>
    <xf numFmtId="0" fontId="18" fillId="0" borderId="13" xfId="0" applyFont="1" applyBorder="1" applyAlignment="1">
      <alignment horizontal="left" vertical="top" wrapText="1"/>
    </xf>
    <xf numFmtId="0" fontId="19" fillId="0" borderId="21" xfId="0" applyFont="1" applyBorder="1" applyAlignment="1" applyProtection="1">
      <alignment horizontal="center" vertical="center" wrapText="1"/>
      <protection locked="0" hidden="1"/>
    </xf>
    <xf numFmtId="0" fontId="12" fillId="9" borderId="40" xfId="0" applyFont="1" applyFill="1" applyBorder="1" applyAlignment="1">
      <alignment horizontal="center" vertical="center"/>
    </xf>
    <xf numFmtId="0" fontId="18" fillId="0" borderId="37" xfId="0" applyFont="1" applyBorder="1" applyAlignment="1">
      <alignment horizontal="left" vertical="center" wrapText="1"/>
    </xf>
    <xf numFmtId="0" fontId="16" fillId="0" borderId="23" xfId="0" applyFont="1" applyBorder="1" applyAlignment="1">
      <alignment vertical="center" wrapText="1"/>
    </xf>
    <xf numFmtId="0" fontId="16" fillId="0" borderId="51" xfId="0" applyFont="1" applyBorder="1" applyAlignment="1">
      <alignment vertical="center" wrapText="1"/>
    </xf>
    <xf numFmtId="0" fontId="18" fillId="0" borderId="51" xfId="0" applyFont="1" applyBorder="1" applyAlignment="1">
      <alignment vertical="center" wrapText="1"/>
    </xf>
    <xf numFmtId="0" fontId="12" fillId="9" borderId="14" xfId="0" applyFont="1" applyFill="1" applyBorder="1" applyAlignment="1">
      <alignment horizontal="center" vertical="center"/>
    </xf>
    <xf numFmtId="0" fontId="12" fillId="9" borderId="3" xfId="0" applyFont="1" applyFill="1" applyBorder="1" applyAlignment="1">
      <alignment horizontal="center" vertical="center"/>
    </xf>
    <xf numFmtId="0" fontId="16" fillId="0" borderId="14" xfId="0" applyFont="1" applyBorder="1" applyAlignment="1">
      <alignment horizontal="left"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39" xfId="0" applyFont="1" applyBorder="1" applyAlignment="1">
      <alignment horizontal="left" vertical="top" wrapText="1"/>
    </xf>
    <xf numFmtId="0" fontId="18" fillId="0" borderId="21" xfId="0" applyFont="1" applyBorder="1" applyAlignment="1">
      <alignment horizontal="left" vertical="top" wrapText="1"/>
    </xf>
    <xf numFmtId="0" fontId="12" fillId="9" borderId="15" xfId="0" applyFont="1" applyFill="1" applyBorder="1" applyAlignment="1">
      <alignment horizontal="center" vertical="center" wrapText="1"/>
    </xf>
    <xf numFmtId="0" fontId="18" fillId="0" borderId="14" xfId="0" applyFont="1" applyBorder="1" applyAlignment="1">
      <alignment horizontal="left" vertical="center" wrapText="1"/>
    </xf>
    <xf numFmtId="0" fontId="12" fillId="9" borderId="15" xfId="0" applyFont="1" applyFill="1" applyBorder="1" applyAlignment="1">
      <alignment horizontal="center" vertical="center"/>
    </xf>
    <xf numFmtId="0" fontId="16" fillId="0" borderId="25" xfId="0" applyFont="1" applyBorder="1" applyAlignment="1">
      <alignment vertical="center" wrapText="1"/>
    </xf>
    <xf numFmtId="0" fontId="18" fillId="0" borderId="13" xfId="0" applyFont="1" applyBorder="1" applyAlignment="1">
      <alignment horizontal="left" vertical="center" wrapText="1"/>
    </xf>
    <xf numFmtId="0" fontId="18" fillId="0" borderId="11" xfId="0" applyFont="1" applyBorder="1" applyAlignment="1">
      <alignment horizontal="left" vertical="center" wrapText="1"/>
    </xf>
    <xf numFmtId="0" fontId="18" fillId="0" borderId="8" xfId="0" applyFont="1" applyBorder="1" applyAlignment="1">
      <alignment horizontal="left" vertical="center" wrapText="1"/>
    </xf>
    <xf numFmtId="0" fontId="20" fillId="0" borderId="21" xfId="0" applyFont="1" applyBorder="1" applyAlignment="1">
      <alignment horizontal="left" vertical="top" wrapText="1"/>
    </xf>
    <xf numFmtId="0" fontId="20" fillId="0" borderId="24" xfId="0" applyFont="1" applyBorder="1" applyAlignment="1">
      <alignment horizontal="left" vertical="top" wrapText="1"/>
    </xf>
    <xf numFmtId="0" fontId="20" fillId="0" borderId="20" xfId="0" applyFont="1" applyBorder="1" applyAlignment="1">
      <alignment horizontal="left" vertical="top" wrapText="1"/>
    </xf>
    <xf numFmtId="0" fontId="18" fillId="0" borderId="3" xfId="0" applyFont="1" applyBorder="1" applyAlignment="1">
      <alignment horizontal="left" vertical="top" wrapText="1"/>
    </xf>
    <xf numFmtId="0" fontId="18" fillId="0" borderId="9" xfId="0" applyFont="1" applyBorder="1" applyAlignment="1">
      <alignment horizontal="left" vertical="top" wrapText="1"/>
    </xf>
    <xf numFmtId="0" fontId="18" fillId="0" borderId="11" xfId="0" applyFont="1" applyBorder="1" applyAlignment="1">
      <alignment horizontal="left" vertical="top" wrapText="1"/>
    </xf>
    <xf numFmtId="0" fontId="18" fillId="0" borderId="8" xfId="0" applyFont="1" applyBorder="1" applyAlignment="1">
      <alignment horizontal="left" vertical="top" wrapText="1"/>
    </xf>
    <xf numFmtId="0" fontId="19" fillId="0" borderId="24" xfId="0" applyFont="1" applyBorder="1" applyAlignment="1" applyProtection="1">
      <alignment horizontal="center" vertical="center" wrapText="1"/>
      <protection locked="0" hidden="1"/>
    </xf>
    <xf numFmtId="0" fontId="19" fillId="0" borderId="20" xfId="0" applyFont="1" applyBorder="1" applyAlignment="1" applyProtection="1">
      <alignment horizontal="center" vertical="center" wrapText="1"/>
      <protection locked="0" hidden="1"/>
    </xf>
    <xf numFmtId="165" fontId="19" fillId="0" borderId="14" xfId="0" applyNumberFormat="1" applyFont="1" applyBorder="1" applyAlignment="1" applyProtection="1">
      <alignment horizontal="center" vertical="center" wrapText="1"/>
      <protection hidden="1"/>
    </xf>
    <xf numFmtId="165" fontId="19" fillId="0" borderId="9" xfId="0" applyNumberFormat="1" applyFont="1" applyBorder="1" applyAlignment="1" applyProtection="1">
      <alignment horizontal="center" vertical="center" wrapText="1"/>
      <protection hidden="1"/>
    </xf>
    <xf numFmtId="164" fontId="18" fillId="0" borderId="14"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164" fontId="18" fillId="0" borderId="9" xfId="0" applyNumberFormat="1" applyFont="1" applyBorder="1" applyAlignment="1">
      <alignment horizontal="center" vertical="center" wrapText="1"/>
    </xf>
    <xf numFmtId="0" fontId="18" fillId="0" borderId="110" xfId="0" applyFont="1" applyBorder="1" applyAlignment="1">
      <alignment horizontal="left" vertical="center" wrapText="1"/>
    </xf>
    <xf numFmtId="0" fontId="0" fillId="0" borderId="11" xfId="0" applyBorder="1" applyAlignment="1">
      <alignment horizontal="left" vertical="center" wrapText="1"/>
    </xf>
    <xf numFmtId="0" fontId="0" fillId="0" borderId="96" xfId="0" applyBorder="1" applyAlignment="1">
      <alignment horizontal="left" vertical="center" wrapText="1"/>
    </xf>
    <xf numFmtId="0" fontId="20" fillId="0" borderId="157" xfId="0" applyFont="1" applyBorder="1" applyAlignment="1">
      <alignment horizontal="left" vertical="top" wrapText="1"/>
    </xf>
    <xf numFmtId="0" fontId="0" fillId="0" borderId="24" xfId="0" applyBorder="1" applyAlignment="1">
      <alignment horizontal="left" vertical="top" wrapText="1"/>
    </xf>
    <xf numFmtId="0" fontId="0" fillId="0" borderId="159" xfId="0" applyBorder="1" applyAlignment="1">
      <alignment horizontal="left" vertical="top" wrapText="1"/>
    </xf>
    <xf numFmtId="0" fontId="18" fillId="0" borderId="140" xfId="0" applyFont="1" applyBorder="1" applyAlignment="1">
      <alignment horizontal="left" vertical="top" wrapText="1"/>
    </xf>
    <xf numFmtId="0" fontId="0" fillId="0" borderId="3" xfId="0" applyBorder="1" applyAlignment="1">
      <alignment horizontal="left" vertical="top" wrapText="1"/>
    </xf>
    <xf numFmtId="0" fontId="0" fillId="0" borderId="142" xfId="0" applyBorder="1" applyAlignment="1">
      <alignment horizontal="left" vertical="top" wrapText="1"/>
    </xf>
    <xf numFmtId="0" fontId="18" fillId="0" borderId="110" xfId="0" applyFont="1" applyBorder="1" applyAlignment="1">
      <alignment horizontal="left" vertical="top" wrapText="1"/>
    </xf>
    <xf numFmtId="0" fontId="0" fillId="0" borderId="11" xfId="0" applyBorder="1" applyAlignment="1">
      <alignment horizontal="left" vertical="top" wrapText="1"/>
    </xf>
    <xf numFmtId="0" fontId="0" fillId="0" borderId="96" xfId="0" applyBorder="1" applyAlignment="1">
      <alignment horizontal="left" vertical="top" wrapText="1"/>
    </xf>
    <xf numFmtId="0" fontId="19" fillId="0" borderId="157" xfId="0" applyFont="1" applyBorder="1" applyAlignment="1" applyProtection="1">
      <alignment horizontal="center" vertical="center" wrapText="1"/>
      <protection locked="0" hidden="1"/>
    </xf>
    <xf numFmtId="0" fontId="0" fillId="0" borderId="24" xfId="0" applyBorder="1" applyAlignment="1">
      <alignment horizontal="center" vertical="center" wrapText="1"/>
    </xf>
    <xf numFmtId="0" fontId="0" fillId="0" borderId="159" xfId="0" applyBorder="1" applyAlignment="1">
      <alignment horizontal="center" vertical="center" wrapText="1"/>
    </xf>
    <xf numFmtId="164" fontId="18" fillId="0" borderId="140" xfId="0" applyNumberFormat="1" applyFont="1" applyBorder="1" applyAlignment="1">
      <alignment horizontal="center" vertical="center" wrapText="1"/>
    </xf>
    <xf numFmtId="164" fontId="18" fillId="0" borderId="142" xfId="0" applyNumberFormat="1" applyFont="1" applyBorder="1" applyAlignment="1">
      <alignment horizontal="center" vertical="center" wrapText="1"/>
    </xf>
    <xf numFmtId="164" fontId="18" fillId="0" borderId="37" xfId="0" applyNumberFormat="1" applyFont="1" applyBorder="1" applyAlignment="1">
      <alignment horizontal="center" vertical="center" wrapText="1"/>
    </xf>
    <xf numFmtId="9" fontId="18" fillId="0" borderId="14" xfId="0" applyNumberFormat="1" applyFont="1" applyBorder="1" applyAlignment="1">
      <alignment horizontal="center" vertical="center" wrapText="1"/>
    </xf>
    <xf numFmtId="9" fontId="18" fillId="0" borderId="3" xfId="0" applyNumberFormat="1" applyFont="1" applyBorder="1" applyAlignment="1">
      <alignment horizontal="center" vertical="center" wrapText="1"/>
    </xf>
    <xf numFmtId="9" fontId="18" fillId="0" borderId="9" xfId="0" applyNumberFormat="1" applyFont="1" applyBorder="1" applyAlignment="1">
      <alignment horizontal="center" vertical="center" wrapText="1"/>
    </xf>
    <xf numFmtId="0" fontId="35" fillId="0" borderId="14" xfId="0" applyFont="1" applyBorder="1" applyAlignment="1">
      <alignment horizontal="left" vertical="center" wrapText="1"/>
    </xf>
    <xf numFmtId="0" fontId="18" fillId="0" borderId="38" xfId="0" applyFont="1" applyBorder="1" applyAlignment="1">
      <alignment horizontal="left" vertical="center" wrapText="1"/>
    </xf>
    <xf numFmtId="0" fontId="12" fillId="9" borderId="74" xfId="0" applyFont="1" applyFill="1" applyBorder="1" applyAlignment="1">
      <alignment horizontal="center" vertical="center" textRotation="90"/>
    </xf>
    <xf numFmtId="0" fontId="12" fillId="9" borderId="45" xfId="0" applyFont="1" applyFill="1" applyBorder="1" applyAlignment="1">
      <alignment horizontal="center" vertical="center" textRotation="90"/>
    </xf>
    <xf numFmtId="0" fontId="12" fillId="14" borderId="81" xfId="0" applyFont="1" applyFill="1" applyBorder="1" applyAlignment="1">
      <alignment horizontal="center" vertical="center"/>
    </xf>
    <xf numFmtId="0" fontId="12" fillId="14" borderId="27" xfId="0" applyFont="1" applyFill="1" applyBorder="1" applyAlignment="1">
      <alignment horizontal="center" vertical="center"/>
    </xf>
    <xf numFmtId="0" fontId="12" fillId="13" borderId="43" xfId="0" applyFont="1" applyFill="1" applyBorder="1" applyAlignment="1">
      <alignment horizontal="center" vertical="center"/>
    </xf>
    <xf numFmtId="0" fontId="12" fillId="13" borderId="42" xfId="0" applyFont="1" applyFill="1" applyBorder="1" applyAlignment="1">
      <alignment horizontal="center" vertical="center"/>
    </xf>
    <xf numFmtId="0" fontId="12" fillId="13" borderId="27" xfId="0" applyFont="1" applyFill="1" applyBorder="1" applyAlignment="1">
      <alignment horizontal="center" vertical="center"/>
    </xf>
    <xf numFmtId="0" fontId="15" fillId="9" borderId="58" xfId="0" applyFont="1" applyFill="1" applyBorder="1" applyAlignment="1">
      <alignment horizontal="center" vertical="center"/>
    </xf>
    <xf numFmtId="0" fontId="15" fillId="9" borderId="55" xfId="0" applyFont="1" applyFill="1" applyBorder="1" applyAlignment="1">
      <alignment horizontal="center" vertical="center"/>
    </xf>
    <xf numFmtId="0" fontId="35" fillId="0" borderId="158" xfId="0" applyFont="1" applyBorder="1" applyAlignment="1">
      <alignment horizontal="left" vertical="center" wrapText="1"/>
    </xf>
    <xf numFmtId="0" fontId="35" fillId="0" borderId="110" xfId="0" applyFont="1" applyBorder="1" applyAlignment="1">
      <alignment vertical="center" wrapText="1"/>
    </xf>
    <xf numFmtId="0" fontId="35" fillId="0" borderId="96" xfId="0" applyFont="1" applyBorder="1" applyAlignment="1">
      <alignment vertical="center" wrapText="1"/>
    </xf>
    <xf numFmtId="0" fontId="18" fillId="0" borderId="157" xfId="0" applyFont="1" applyBorder="1" applyAlignment="1">
      <alignment horizontal="left" vertical="top" wrapText="1"/>
    </xf>
    <xf numFmtId="0" fontId="21" fillId="0" borderId="140" xfId="0" applyFont="1" applyBorder="1" applyAlignment="1">
      <alignment horizontal="left" vertical="center" wrapText="1"/>
    </xf>
    <xf numFmtId="0" fontId="21" fillId="0" borderId="142" xfId="0" applyFont="1" applyBorder="1" applyAlignment="1">
      <alignment horizontal="left" vertical="center" wrapText="1"/>
    </xf>
    <xf numFmtId="0" fontId="16" fillId="0" borderId="110" xfId="0" applyFont="1" applyBorder="1" applyAlignment="1">
      <alignment horizontal="left" vertical="center" wrapText="1"/>
    </xf>
    <xf numFmtId="0" fontId="16" fillId="0" borderId="96" xfId="0" applyFont="1" applyBorder="1" applyAlignment="1">
      <alignment horizontal="left" vertical="center" wrapText="1"/>
    </xf>
    <xf numFmtId="0" fontId="15" fillId="0" borderId="17" xfId="0" applyFont="1" applyBorder="1" applyAlignment="1">
      <alignment horizontal="center" vertical="center"/>
    </xf>
    <xf numFmtId="0" fontId="12" fillId="9" borderId="55" xfId="0" applyFont="1" applyFill="1" applyBorder="1" applyAlignment="1">
      <alignment horizontal="center" vertical="center"/>
    </xf>
    <xf numFmtId="0" fontId="18" fillId="0" borderId="117" xfId="0" applyFont="1" applyBorder="1" applyAlignment="1">
      <alignment horizontal="left" vertical="center" wrapText="1"/>
    </xf>
    <xf numFmtId="0" fontId="18" fillId="0" borderId="96" xfId="0" applyFont="1" applyBorder="1" applyAlignment="1">
      <alignment horizontal="left" vertical="center" wrapText="1"/>
    </xf>
    <xf numFmtId="0" fontId="16" fillId="0" borderId="157" xfId="0" applyFont="1" applyBorder="1" applyAlignment="1">
      <alignment horizontal="left" vertical="top" wrapText="1"/>
    </xf>
    <xf numFmtId="0" fontId="16" fillId="0" borderId="24" xfId="0" applyFont="1" applyBorder="1" applyAlignment="1">
      <alignment horizontal="left" vertical="top" wrapText="1"/>
    </xf>
    <xf numFmtId="0" fontId="16" fillId="0" borderId="159" xfId="0" applyFont="1" applyBorder="1" applyAlignment="1">
      <alignment horizontal="left" vertical="top" wrapText="1"/>
    </xf>
    <xf numFmtId="0" fontId="16" fillId="0" borderId="142" xfId="0" applyFont="1" applyBorder="1" applyAlignment="1">
      <alignment horizontal="left" vertical="top" wrapText="1"/>
    </xf>
    <xf numFmtId="0" fontId="16" fillId="0" borderId="110" xfId="0" applyFont="1" applyBorder="1" applyAlignment="1">
      <alignment horizontal="left" vertical="top" wrapText="1"/>
    </xf>
    <xf numFmtId="0" fontId="16" fillId="0" borderId="11" xfId="0" applyFont="1" applyBorder="1" applyAlignment="1">
      <alignment horizontal="left" vertical="top" wrapText="1"/>
    </xf>
    <xf numFmtId="0" fontId="16" fillId="0" borderId="96" xfId="0" applyFont="1" applyBorder="1" applyAlignment="1">
      <alignment horizontal="left" vertical="top" wrapText="1"/>
    </xf>
    <xf numFmtId="0" fontId="0" fillId="0" borderId="160" xfId="0" applyBorder="1" applyAlignment="1">
      <alignment horizontal="left" vertical="center" wrapText="1"/>
    </xf>
    <xf numFmtId="0" fontId="0" fillId="0" borderId="158" xfId="0" applyBorder="1" applyAlignment="1">
      <alignment horizontal="left" vertical="center" wrapText="1"/>
    </xf>
    <xf numFmtId="0" fontId="0" fillId="0" borderId="3" xfId="0" applyBorder="1" applyAlignment="1">
      <alignment horizontal="center" vertical="center" wrapText="1"/>
    </xf>
    <xf numFmtId="0" fontId="0" fillId="0" borderId="142" xfId="0" applyBorder="1" applyAlignment="1">
      <alignment horizontal="center" vertical="center" wrapText="1"/>
    </xf>
    <xf numFmtId="0" fontId="12" fillId="9" borderId="55" xfId="0" applyFont="1" applyFill="1" applyBorder="1" applyAlignment="1">
      <alignment horizontal="center" vertical="center" wrapText="1"/>
    </xf>
    <xf numFmtId="0" fontId="0" fillId="0" borderId="55" xfId="0" applyBorder="1" applyAlignment="1">
      <alignment horizontal="center" vertical="center" wrapText="1"/>
    </xf>
    <xf numFmtId="0" fontId="20" fillId="0" borderId="159" xfId="0" applyFont="1" applyBorder="1" applyAlignment="1">
      <alignment horizontal="left" vertical="top" wrapText="1"/>
    </xf>
    <xf numFmtId="0" fontId="20" fillId="0" borderId="39" xfId="0" applyFont="1" applyBorder="1" applyAlignment="1">
      <alignment horizontal="left" vertical="top" wrapText="1"/>
    </xf>
    <xf numFmtId="9" fontId="18" fillId="0" borderId="140" xfId="0" applyNumberFormat="1" applyFont="1" applyBorder="1" applyAlignment="1">
      <alignment horizontal="center" vertical="center" wrapText="1"/>
    </xf>
    <xf numFmtId="9" fontId="18" fillId="0" borderId="142" xfId="0" applyNumberFormat="1" applyFont="1" applyBorder="1" applyAlignment="1">
      <alignment horizontal="center" vertical="center" wrapText="1"/>
    </xf>
    <xf numFmtId="9" fontId="18" fillId="0" borderId="37" xfId="0" applyNumberFormat="1" applyFont="1" applyBorder="1" applyAlignment="1">
      <alignment horizontal="center" vertical="center" wrapText="1"/>
    </xf>
    <xf numFmtId="0" fontId="12" fillId="9" borderId="12"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4" xfId="0" applyBorder="1" applyAlignment="1">
      <alignment vertical="center" wrapText="1"/>
    </xf>
    <xf numFmtId="0" fontId="12" fillId="9" borderId="117" xfId="0" applyFont="1" applyFill="1" applyBorder="1" applyAlignment="1">
      <alignment horizontal="center" vertical="center"/>
    </xf>
    <xf numFmtId="0" fontId="12" fillId="9" borderId="158" xfId="0" applyFont="1" applyFill="1" applyBorder="1" applyAlignment="1">
      <alignment horizontal="center" vertical="center"/>
    </xf>
    <xf numFmtId="0" fontId="39" fillId="0" borderId="110" xfId="0" applyFont="1" applyBorder="1" applyAlignment="1">
      <alignment vertical="center" wrapText="1"/>
    </xf>
    <xf numFmtId="0" fontId="18" fillId="0" borderId="96" xfId="0" applyFont="1" applyBorder="1" applyAlignment="1">
      <alignment vertical="center" wrapText="1"/>
    </xf>
    <xf numFmtId="0" fontId="35" fillId="0" borderId="147" xfId="0" applyFont="1" applyBorder="1" applyAlignment="1">
      <alignment vertical="center" wrapText="1"/>
    </xf>
    <xf numFmtId="0" fontId="18" fillId="0" borderId="119" xfId="0" applyFont="1" applyBorder="1" applyAlignment="1">
      <alignment vertical="center" wrapText="1"/>
    </xf>
    <xf numFmtId="0" fontId="18" fillId="0" borderId="137" xfId="0" applyFont="1" applyBorder="1" applyAlignment="1">
      <alignment vertical="center" wrapText="1"/>
    </xf>
    <xf numFmtId="0" fontId="35" fillId="0" borderId="151" xfId="0" applyFont="1" applyBorder="1" applyAlignment="1">
      <alignment vertical="center" wrapText="1"/>
    </xf>
    <xf numFmtId="0" fontId="18" fillId="0" borderId="136" xfId="0" applyFont="1" applyBorder="1" applyAlignment="1">
      <alignment vertical="center" wrapText="1"/>
    </xf>
    <xf numFmtId="0" fontId="18" fillId="0" borderId="121" xfId="0" applyFont="1" applyBorder="1" applyAlignment="1">
      <alignment horizontal="left" vertical="top" wrapText="1"/>
    </xf>
    <xf numFmtId="0" fontId="18" fillId="0" borderId="122" xfId="0" applyFont="1" applyBorder="1" applyAlignment="1">
      <alignment horizontal="left" vertical="top" wrapText="1"/>
    </xf>
    <xf numFmtId="0" fontId="18" fillId="0" borderId="148" xfId="0" applyFont="1" applyBorder="1" applyAlignment="1">
      <alignment horizontal="left" vertical="top" wrapText="1"/>
    </xf>
    <xf numFmtId="0" fontId="18" fillId="0" borderId="128" xfId="0" applyFont="1" applyBorder="1" applyAlignment="1">
      <alignment horizontal="left" vertical="top" wrapText="1"/>
    </xf>
    <xf numFmtId="0" fontId="18" fillId="0" borderId="115" xfId="0" applyFont="1" applyBorder="1" applyAlignment="1">
      <alignment horizontal="left" vertical="top" wrapText="1"/>
    </xf>
    <xf numFmtId="0" fontId="12" fillId="9" borderId="58" xfId="0" applyFont="1" applyFill="1" applyBorder="1" applyAlignment="1">
      <alignment horizontal="center" vertical="center"/>
    </xf>
    <xf numFmtId="0" fontId="12" fillId="9" borderId="56" xfId="0" applyFont="1" applyFill="1" applyBorder="1" applyAlignment="1">
      <alignment horizontal="center" vertical="center"/>
    </xf>
    <xf numFmtId="0" fontId="39" fillId="0" borderId="109" xfId="0" applyFont="1" applyBorder="1" applyAlignment="1">
      <alignment vertical="center" wrapText="1"/>
    </xf>
    <xf numFmtId="0" fontId="18" fillId="0" borderId="108" xfId="0" applyFont="1" applyBorder="1" applyAlignment="1">
      <alignment vertical="center" wrapText="1"/>
    </xf>
    <xf numFmtId="0" fontId="18" fillId="0" borderId="156" xfId="0" applyFont="1" applyBorder="1" applyAlignment="1">
      <alignment vertical="center" wrapText="1"/>
    </xf>
    <xf numFmtId="0" fontId="35" fillId="0" borderId="87" xfId="0" applyFont="1" applyBorder="1" applyAlignment="1">
      <alignment vertical="center" wrapText="1"/>
    </xf>
    <xf numFmtId="0" fontId="18" fillId="0" borderId="60" xfId="0" applyFont="1" applyBorder="1" applyAlignment="1">
      <alignment vertical="center" wrapText="1"/>
    </xf>
    <xf numFmtId="0" fontId="39" fillId="0" borderId="13" xfId="0" applyFont="1" applyBorder="1" applyAlignment="1">
      <alignment vertical="center" wrapText="1"/>
    </xf>
    <xf numFmtId="0" fontId="39" fillId="0" borderId="23" xfId="0" applyFont="1" applyBorder="1" applyAlignment="1">
      <alignment vertical="center" wrapText="1"/>
    </xf>
    <xf numFmtId="0" fontId="18" fillId="0" borderId="123" xfId="0" applyFont="1" applyBorder="1" applyAlignment="1">
      <alignment vertical="center" wrapText="1"/>
    </xf>
    <xf numFmtId="0" fontId="35" fillId="0" borderId="79" xfId="0" applyFont="1" applyBorder="1" applyAlignment="1">
      <alignment vertical="center" wrapText="1"/>
    </xf>
    <xf numFmtId="0" fontId="18" fillId="0" borderId="78" xfId="0" applyFont="1" applyBorder="1" applyAlignment="1">
      <alignment vertical="center" wrapText="1"/>
    </xf>
    <xf numFmtId="0" fontId="12" fillId="9" borderId="56" xfId="0" applyFont="1" applyFill="1" applyBorder="1" applyAlignment="1">
      <alignment horizontal="center" vertical="center" wrapText="1"/>
    </xf>
    <xf numFmtId="0" fontId="12" fillId="9" borderId="58" xfId="0" applyFont="1" applyFill="1" applyBorder="1" applyAlignment="1">
      <alignment horizontal="center" vertical="center" wrapText="1"/>
    </xf>
    <xf numFmtId="0" fontId="18" fillId="0" borderId="95" xfId="0" applyFont="1" applyBorder="1" applyAlignment="1">
      <alignment vertical="center" wrapText="1"/>
    </xf>
    <xf numFmtId="0" fontId="39" fillId="10" borderId="14" xfId="0" applyFont="1" applyFill="1" applyBorder="1" applyAlignment="1">
      <alignment horizontal="left" vertical="center" wrapText="1"/>
    </xf>
    <xf numFmtId="0" fontId="18" fillId="10" borderId="34" xfId="0" applyFont="1" applyFill="1" applyBorder="1" applyAlignment="1">
      <alignment horizontal="left" vertical="center" wrapText="1"/>
    </xf>
    <xf numFmtId="0" fontId="35" fillId="0" borderId="85" xfId="0" applyFont="1" applyBorder="1" applyAlignment="1">
      <alignment vertical="center" wrapText="1"/>
    </xf>
    <xf numFmtId="0" fontId="18" fillId="0" borderId="123" xfId="0" applyFont="1" applyBorder="1" applyAlignment="1">
      <alignment horizontal="left" vertical="center" wrapText="1"/>
    </xf>
    <xf numFmtId="0" fontId="18" fillId="0" borderId="153" xfId="0" applyFont="1" applyBorder="1" applyAlignment="1">
      <alignment horizontal="left" vertical="center" wrapText="1"/>
    </xf>
    <xf numFmtId="0" fontId="35" fillId="0" borderId="154" xfId="0" applyFont="1" applyBorder="1" applyAlignment="1">
      <alignment vertical="center" wrapText="1"/>
    </xf>
    <xf numFmtId="0" fontId="16" fillId="0" borderId="121" xfId="0" applyFont="1" applyBorder="1" applyAlignment="1">
      <alignment horizontal="left" vertical="top" wrapText="1"/>
    </xf>
    <xf numFmtId="0" fontId="16" fillId="0" borderId="122" xfId="0" applyFont="1" applyBorder="1" applyAlignment="1">
      <alignment horizontal="left" vertical="top" wrapText="1"/>
    </xf>
    <xf numFmtId="0" fontId="39" fillId="0" borderId="117" xfId="0" applyFont="1" applyBorder="1" applyAlignment="1">
      <alignment horizontal="left" vertical="center" wrapText="1"/>
    </xf>
    <xf numFmtId="0" fontId="39" fillId="0" borderId="147" xfId="0" applyFont="1" applyBorder="1" applyAlignment="1">
      <alignment vertical="center" wrapText="1"/>
    </xf>
    <xf numFmtId="0" fontId="35" fillId="0" borderId="152" xfId="0" applyFont="1" applyBorder="1" applyAlignment="1">
      <alignment vertical="center" wrapText="1"/>
    </xf>
    <xf numFmtId="0" fontId="18" fillId="0" borderId="119" xfId="0" applyFont="1" applyBorder="1" applyAlignment="1">
      <alignment horizontal="left" vertical="center" wrapText="1"/>
    </xf>
    <xf numFmtId="0" fontId="18" fillId="0" borderId="120" xfId="0" applyFont="1" applyBorder="1" applyAlignment="1">
      <alignment horizontal="left" vertical="center" wrapText="1"/>
    </xf>
    <xf numFmtId="0" fontId="35" fillId="0" borderId="132" xfId="0" applyFont="1" applyBorder="1" applyAlignment="1">
      <alignment vertical="center" wrapText="1"/>
    </xf>
    <xf numFmtId="0" fontId="39" fillId="0" borderId="14" xfId="0" applyFont="1" applyBorder="1" applyAlignment="1">
      <alignment horizontal="left" vertical="center" wrapText="1"/>
    </xf>
    <xf numFmtId="0" fontId="18" fillId="0" borderId="34" xfId="0" applyFont="1" applyBorder="1" applyAlignment="1">
      <alignment horizontal="left" vertical="center" wrapText="1"/>
    </xf>
    <xf numFmtId="0" fontId="35" fillId="0" borderId="23" xfId="0" applyFont="1" applyBorder="1" applyAlignment="1">
      <alignment vertical="center" wrapText="1"/>
    </xf>
    <xf numFmtId="0" fontId="18" fillId="0" borderId="85" xfId="0" applyFont="1" applyBorder="1" applyAlignment="1">
      <alignment vertical="center" wrapText="1"/>
    </xf>
    <xf numFmtId="0" fontId="18" fillId="0" borderId="79" xfId="0" applyFont="1" applyBorder="1" applyAlignment="1">
      <alignment vertical="center" wrapText="1"/>
    </xf>
    <xf numFmtId="0" fontId="18" fillId="0" borderId="154" xfId="0" applyFont="1" applyBorder="1" applyAlignment="1">
      <alignment vertical="center" wrapText="1"/>
    </xf>
    <xf numFmtId="0" fontId="18" fillId="0" borderId="135" xfId="0" applyFont="1" applyBorder="1" applyAlignment="1">
      <alignment horizontal="left" vertical="top" wrapText="1"/>
    </xf>
    <xf numFmtId="0" fontId="18" fillId="0" borderId="126" xfId="0" applyFont="1" applyBorder="1" applyAlignment="1">
      <alignment horizontal="left" vertical="top" wrapText="1"/>
    </xf>
    <xf numFmtId="0" fontId="39" fillId="0" borderId="138" xfId="0" applyFont="1" applyBorder="1" applyAlignment="1">
      <alignment horizontal="left" vertical="center" wrapText="1"/>
    </xf>
    <xf numFmtId="0" fontId="18" fillId="0" borderId="147" xfId="0" applyFont="1" applyBorder="1" applyAlignment="1">
      <alignment horizontal="left" vertical="center" wrapText="1"/>
    </xf>
    <xf numFmtId="0" fontId="18" fillId="0" borderId="146" xfId="0" applyFont="1" applyBorder="1" applyAlignment="1">
      <alignment horizontal="left" vertical="center" wrapText="1"/>
    </xf>
    <xf numFmtId="0" fontId="18" fillId="0" borderId="87" xfId="0" applyFont="1" applyBorder="1" applyAlignment="1">
      <alignment horizontal="left" vertical="center" wrapText="1"/>
    </xf>
    <xf numFmtId="0" fontId="18" fillId="0" borderId="84" xfId="0" applyFont="1" applyBorder="1" applyAlignment="1">
      <alignment horizontal="left" vertical="center" wrapText="1"/>
    </xf>
    <xf numFmtId="0" fontId="39" fillId="0" borderId="34" xfId="0" applyFont="1" applyBorder="1" applyAlignment="1">
      <alignment horizontal="left" vertical="center" wrapText="1"/>
    </xf>
    <xf numFmtId="0" fontId="18" fillId="10" borderId="23" xfId="0" applyFont="1" applyFill="1" applyBorder="1" applyAlignment="1">
      <alignment horizontal="left" vertical="center" wrapText="1"/>
    </xf>
    <xf numFmtId="0" fontId="18" fillId="10" borderId="2" xfId="0" applyFont="1" applyFill="1" applyBorder="1" applyAlignment="1">
      <alignment horizontal="left" vertical="center" wrapText="1"/>
    </xf>
    <xf numFmtId="0" fontId="18" fillId="0" borderId="77" xfId="0" applyFont="1" applyBorder="1" applyAlignment="1">
      <alignment vertical="center" wrapText="1"/>
    </xf>
    <xf numFmtId="0" fontId="18" fillId="0" borderId="99" xfId="0" applyFont="1" applyBorder="1" applyAlignment="1">
      <alignment horizontal="left" vertical="center" wrapText="1"/>
    </xf>
    <xf numFmtId="0" fontId="18" fillId="0" borderId="87" xfId="0" applyFont="1" applyBorder="1" applyAlignment="1">
      <alignment vertical="center" wrapText="1"/>
    </xf>
    <xf numFmtId="0" fontId="18" fillId="0" borderId="84" xfId="0" applyFont="1" applyBorder="1" applyAlignment="1">
      <alignment vertical="center" wrapText="1"/>
    </xf>
    <xf numFmtId="0" fontId="15" fillId="9" borderId="1" xfId="0" applyFont="1" applyFill="1" applyBorder="1" applyAlignment="1">
      <alignment horizontal="center" vertical="center"/>
    </xf>
    <xf numFmtId="0" fontId="16" fillId="0" borderId="143" xfId="0" applyFont="1" applyBorder="1" applyAlignment="1">
      <alignment horizontal="left" vertical="top" wrapText="1"/>
    </xf>
    <xf numFmtId="0" fontId="16" fillId="0" borderId="62" xfId="0" applyFont="1" applyBorder="1" applyAlignment="1">
      <alignment horizontal="left" vertical="top" wrapText="1"/>
    </xf>
    <xf numFmtId="0" fontId="16" fillId="0" borderId="144" xfId="0" applyFont="1" applyBorder="1" applyAlignment="1">
      <alignment horizontal="left" vertical="top" wrapText="1"/>
    </xf>
    <xf numFmtId="165" fontId="19" fillId="0" borderId="23" xfId="0" applyNumberFormat="1" applyFont="1" applyBorder="1" applyAlignment="1" applyProtection="1">
      <alignment horizontal="center" vertical="center" wrapText="1"/>
      <protection hidden="1"/>
    </xf>
    <xf numFmtId="165" fontId="19" fillId="0" borderId="51" xfId="0" applyNumberFormat="1" applyFont="1" applyBorder="1" applyAlignment="1" applyProtection="1">
      <alignment horizontal="center" vertical="center" wrapText="1"/>
      <protection hidden="1"/>
    </xf>
    <xf numFmtId="165" fontId="19" fillId="0" borderId="52" xfId="0" applyNumberFormat="1" applyFont="1" applyBorder="1" applyAlignment="1" applyProtection="1">
      <alignment horizontal="center" vertical="center" wrapText="1"/>
      <protection hidden="1"/>
    </xf>
    <xf numFmtId="164" fontId="18" fillId="0" borderId="131" xfId="0" applyNumberFormat="1" applyFont="1" applyBorder="1" applyAlignment="1">
      <alignment horizontal="center" vertical="center"/>
    </xf>
    <xf numFmtId="164" fontId="18" fillId="0" borderId="90" xfId="0" applyNumberFormat="1" applyFont="1" applyBorder="1" applyAlignment="1">
      <alignment horizontal="center" vertical="center"/>
    </xf>
    <xf numFmtId="164" fontId="18" fillId="0" borderId="126" xfId="0" applyNumberFormat="1" applyFont="1" applyBorder="1" applyAlignment="1">
      <alignment horizontal="center" vertical="center"/>
    </xf>
    <xf numFmtId="0" fontId="18" fillId="0" borderId="21" xfId="0" applyFont="1" applyBorder="1" applyAlignment="1">
      <alignment horizontal="left" vertical="center" wrapText="1"/>
    </xf>
    <xf numFmtId="0" fontId="18" fillId="0" borderId="24" xfId="0" applyFont="1" applyBorder="1" applyAlignment="1">
      <alignment horizontal="left" vertical="center" wrapText="1"/>
    </xf>
    <xf numFmtId="164" fontId="18" fillId="0" borderId="192" xfId="0" applyNumberFormat="1" applyFont="1" applyBorder="1" applyAlignment="1">
      <alignment horizontal="center" vertical="center"/>
    </xf>
    <xf numFmtId="164" fontId="18" fillId="0" borderId="185" xfId="0" applyNumberFormat="1" applyFont="1" applyBorder="1" applyAlignment="1">
      <alignment horizontal="center" vertical="center"/>
    </xf>
    <xf numFmtId="164" fontId="18" fillId="0" borderId="188" xfId="0" applyNumberFormat="1" applyFont="1" applyBorder="1" applyAlignment="1">
      <alignment horizontal="center" vertical="center"/>
    </xf>
    <xf numFmtId="164" fontId="18" fillId="0" borderId="215" xfId="0" applyNumberFormat="1" applyFont="1" applyBorder="1" applyAlignment="1">
      <alignment horizontal="center" vertical="center"/>
    </xf>
    <xf numFmtId="164" fontId="18" fillId="0" borderId="208" xfId="0" applyNumberFormat="1" applyFont="1" applyBorder="1" applyAlignment="1">
      <alignment horizontal="center" vertical="center"/>
    </xf>
    <xf numFmtId="165" fontId="19" fillId="0" borderId="198" xfId="0" applyNumberFormat="1" applyFont="1" applyBorder="1" applyAlignment="1" applyProtection="1">
      <alignment horizontal="center" vertical="center" wrapText="1"/>
      <protection hidden="1"/>
    </xf>
    <xf numFmtId="0" fontId="19" fillId="0" borderId="197" xfId="0" applyFont="1" applyBorder="1" applyAlignment="1" applyProtection="1">
      <alignment horizontal="center" vertical="center" wrapText="1"/>
      <protection locked="0" hidden="1"/>
    </xf>
    <xf numFmtId="0" fontId="19" fillId="0" borderId="186" xfId="0" applyFont="1" applyBorder="1" applyAlignment="1" applyProtection="1">
      <alignment horizontal="center" vertical="center" wrapText="1"/>
      <protection locked="0" hidden="1"/>
    </xf>
    <xf numFmtId="0" fontId="18" fillId="0" borderId="199" xfId="0" applyFont="1" applyBorder="1" applyAlignment="1">
      <alignment horizontal="left" vertical="center" wrapText="1"/>
    </xf>
    <xf numFmtId="0" fontId="18" fillId="0" borderId="208" xfId="0" applyFont="1" applyBorder="1" applyAlignment="1">
      <alignment horizontal="left" vertical="center" wrapText="1"/>
    </xf>
    <xf numFmtId="0" fontId="18" fillId="0" borderId="207" xfId="0" applyFont="1" applyBorder="1" applyAlignment="1">
      <alignment horizontal="left" vertical="center" wrapText="1"/>
    </xf>
    <xf numFmtId="0" fontId="18" fillId="0" borderId="186" xfId="0" applyFont="1" applyBorder="1" applyAlignment="1">
      <alignment horizontal="left" vertical="center" wrapText="1"/>
    </xf>
    <xf numFmtId="164" fontId="18" fillId="0" borderId="113" xfId="0" applyNumberFormat="1" applyFont="1" applyBorder="1" applyAlignment="1">
      <alignment horizontal="center" vertical="center"/>
    </xf>
    <xf numFmtId="164" fontId="18" fillId="0" borderId="114" xfId="0" applyNumberFormat="1" applyFont="1" applyBorder="1" applyAlignment="1">
      <alignment horizontal="center" vertical="center"/>
    </xf>
    <xf numFmtId="0" fontId="35" fillId="0" borderId="24" xfId="0" applyFont="1" applyBorder="1" applyAlignment="1">
      <alignment horizontal="left" vertical="center" wrapText="1"/>
    </xf>
    <xf numFmtId="0" fontId="18" fillId="0" borderId="139" xfId="0" applyFont="1" applyBorder="1" applyAlignment="1">
      <alignment vertical="center"/>
    </xf>
    <xf numFmtId="0" fontId="18" fillId="0" borderId="34" xfId="0" applyFont="1" applyBorder="1" applyAlignment="1">
      <alignment vertical="center"/>
    </xf>
    <xf numFmtId="0" fontId="18" fillId="10" borderId="185" xfId="0" applyFont="1" applyFill="1" applyBorder="1" applyAlignment="1">
      <alignment horizontal="left" vertical="center" wrapText="1"/>
    </xf>
    <xf numFmtId="0" fontId="18" fillId="10" borderId="188" xfId="0" applyFont="1" applyFill="1" applyBorder="1" applyAlignment="1">
      <alignment horizontal="left" vertical="center" wrapText="1"/>
    </xf>
    <xf numFmtId="0" fontId="19" fillId="0" borderId="133" xfId="0" applyFont="1" applyBorder="1" applyAlignment="1" applyProtection="1">
      <alignment horizontal="center" vertical="center" wrapText="1"/>
      <protection locked="0" hidden="1"/>
    </xf>
    <xf numFmtId="164" fontId="18" fillId="0" borderId="191" xfId="0" applyNumberFormat="1" applyFont="1" applyBorder="1" applyAlignment="1">
      <alignment horizontal="center" vertical="center"/>
    </xf>
    <xf numFmtId="164" fontId="18" fillId="0" borderId="187" xfId="0" applyNumberFormat="1" applyFont="1" applyBorder="1" applyAlignment="1">
      <alignment horizontal="center" vertical="center"/>
    </xf>
    <xf numFmtId="164" fontId="18" fillId="0" borderId="93" xfId="0" applyNumberFormat="1" applyFont="1" applyBorder="1" applyAlignment="1">
      <alignment horizontal="center" vertical="center"/>
    </xf>
    <xf numFmtId="164" fontId="18" fillId="0" borderId="94" xfId="0" applyNumberFormat="1" applyFont="1" applyBorder="1" applyAlignment="1">
      <alignment horizontal="center" vertical="center"/>
    </xf>
    <xf numFmtId="164" fontId="18" fillId="0" borderId="201" xfId="0" applyNumberFormat="1" applyFont="1" applyBorder="1" applyAlignment="1">
      <alignment horizontal="center" vertical="center"/>
    </xf>
    <xf numFmtId="164" fontId="18" fillId="0" borderId="196" xfId="0" applyNumberFormat="1" applyFont="1" applyBorder="1" applyAlignment="1">
      <alignment horizontal="center" vertical="center"/>
    </xf>
    <xf numFmtId="164" fontId="18" fillId="0" borderId="202" xfId="0" applyNumberFormat="1" applyFont="1" applyBorder="1" applyAlignment="1">
      <alignment horizontal="center" vertical="center"/>
    </xf>
    <xf numFmtId="0" fontId="16" fillId="0" borderId="111" xfId="0" applyFont="1" applyBorder="1" applyAlignment="1">
      <alignment vertical="center" wrapText="1"/>
    </xf>
    <xf numFmtId="0" fontId="16" fillId="0" borderId="92" xfId="0" applyFont="1" applyBorder="1" applyAlignment="1">
      <alignment vertical="center" wrapText="1"/>
    </xf>
    <xf numFmtId="164" fontId="18" fillId="0" borderId="161" xfId="0" applyNumberFormat="1" applyFont="1" applyBorder="1" applyAlignment="1">
      <alignment horizontal="center" vertical="center"/>
    </xf>
    <xf numFmtId="165" fontId="19" fillId="0" borderId="169" xfId="0" applyNumberFormat="1" applyFont="1" applyBorder="1" applyAlignment="1" applyProtection="1">
      <alignment horizontal="center" vertical="center" wrapText="1"/>
      <protection hidden="1"/>
    </xf>
    <xf numFmtId="165" fontId="19" fillId="0" borderId="134" xfId="0" applyNumberFormat="1" applyFont="1" applyBorder="1" applyAlignment="1" applyProtection="1">
      <alignment horizontal="center" vertical="center" wrapText="1"/>
      <protection hidden="1"/>
    </xf>
    <xf numFmtId="0" fontId="16" fillId="0" borderId="39" xfId="0" applyFont="1" applyBorder="1" applyAlignment="1">
      <alignment horizontal="left" vertical="center" wrapText="1"/>
    </xf>
    <xf numFmtId="0" fontId="16" fillId="0" borderId="147" xfId="0" applyFont="1" applyBorder="1" applyAlignment="1">
      <alignment vertical="center" wrapText="1"/>
    </xf>
    <xf numFmtId="0" fontId="16" fillId="0" borderId="52" xfId="0" applyFont="1" applyBorder="1" applyAlignment="1">
      <alignment vertical="center" wrapText="1"/>
    </xf>
    <xf numFmtId="0" fontId="15" fillId="9" borderId="184" xfId="0" applyFont="1" applyFill="1" applyBorder="1" applyAlignment="1">
      <alignment horizontal="center" vertical="center"/>
    </xf>
    <xf numFmtId="0" fontId="15" fillId="9" borderId="181" xfId="0" applyFont="1" applyFill="1" applyBorder="1" applyAlignment="1">
      <alignment horizontal="center" vertical="center"/>
    </xf>
    <xf numFmtId="0" fontId="16" fillId="0" borderId="145" xfId="0" applyFont="1" applyBorder="1" applyAlignment="1">
      <alignment horizontal="left" vertical="center" wrapText="1"/>
    </xf>
    <xf numFmtId="0" fontId="16" fillId="0" borderId="2" xfId="0" applyFont="1" applyBorder="1" applyAlignment="1">
      <alignment horizontal="left" vertical="center" wrapText="1"/>
    </xf>
    <xf numFmtId="0" fontId="35" fillId="0" borderId="145" xfId="0" applyFont="1" applyBorder="1" applyAlignment="1">
      <alignment horizontal="center" vertical="center" wrapText="1"/>
    </xf>
    <xf numFmtId="0" fontId="35" fillId="0" borderId="2" xfId="0" applyFont="1" applyBorder="1" applyAlignment="1">
      <alignment horizontal="center" vertical="center" wrapText="1"/>
    </xf>
    <xf numFmtId="10" fontId="18" fillId="0" borderId="88" xfId="1" applyNumberFormat="1" applyFont="1" applyBorder="1" applyAlignment="1">
      <alignment horizontal="center" vertical="center"/>
    </xf>
    <xf numFmtId="10" fontId="18" fillId="0" borderId="90" xfId="1" applyNumberFormat="1" applyFont="1" applyBorder="1" applyAlignment="1">
      <alignment horizontal="center" vertical="center"/>
    </xf>
    <xf numFmtId="10" fontId="18" fillId="0" borderId="126" xfId="1" applyNumberFormat="1" applyFont="1" applyBorder="1" applyAlignment="1">
      <alignment horizontal="center" vertical="center"/>
    </xf>
    <xf numFmtId="0" fontId="11" fillId="0" borderId="185" xfId="0" applyFont="1" applyBorder="1" applyAlignment="1">
      <alignment horizontal="center" vertical="center"/>
    </xf>
    <xf numFmtId="165" fontId="19" fillId="0" borderId="133" xfId="0" applyNumberFormat="1" applyFont="1" applyBorder="1" applyAlignment="1" applyProtection="1">
      <alignment horizontal="center" vertical="center" wrapText="1"/>
      <protection hidden="1"/>
    </xf>
    <xf numFmtId="165" fontId="19" fillId="0" borderId="67" xfId="0" applyNumberFormat="1" applyFont="1" applyBorder="1" applyAlignment="1" applyProtection="1">
      <alignment horizontal="center" vertical="center" wrapText="1"/>
      <protection hidden="1"/>
    </xf>
    <xf numFmtId="164" fontId="18" fillId="0" borderId="195" xfId="0" applyNumberFormat="1" applyFont="1" applyBorder="1" applyAlignment="1">
      <alignment horizontal="center" vertical="center"/>
    </xf>
    <xf numFmtId="164" fontId="18" fillId="0" borderId="200" xfId="0" applyNumberFormat="1" applyFont="1" applyBorder="1" applyAlignment="1">
      <alignment horizontal="center" vertical="center"/>
    </xf>
    <xf numFmtId="0" fontId="16" fillId="0" borderId="93" xfId="0" applyFont="1" applyBorder="1" applyAlignment="1">
      <alignment vertical="center" wrapText="1"/>
    </xf>
    <xf numFmtId="165" fontId="19" fillId="0" borderId="71" xfId="0" applyNumberFormat="1" applyFont="1" applyBorder="1" applyAlignment="1" applyProtection="1">
      <alignment horizontal="center" vertical="center" wrapText="1"/>
      <protection hidden="1"/>
    </xf>
    <xf numFmtId="165" fontId="19" fillId="0" borderId="189" xfId="0" applyNumberFormat="1" applyFont="1" applyBorder="1" applyAlignment="1" applyProtection="1">
      <alignment horizontal="center" vertical="center" wrapText="1"/>
      <protection hidden="1"/>
    </xf>
    <xf numFmtId="164" fontId="18" fillId="0" borderId="63" xfId="0" applyNumberFormat="1" applyFont="1" applyBorder="1" applyAlignment="1">
      <alignment horizontal="center" vertical="center"/>
    </xf>
    <xf numFmtId="0" fontId="35" fillId="10" borderId="192" xfId="0" applyFont="1" applyFill="1" applyBorder="1" applyAlignment="1">
      <alignment horizontal="left" vertical="top" wrapText="1"/>
    </xf>
    <xf numFmtId="0" fontId="35" fillId="10" borderId="188" xfId="0" applyFont="1" applyFill="1" applyBorder="1" applyAlignment="1">
      <alignment horizontal="left" vertical="top" wrapText="1"/>
    </xf>
    <xf numFmtId="164" fontId="18" fillId="0" borderId="129" xfId="0" applyNumberFormat="1" applyFont="1" applyBorder="1" applyAlignment="1">
      <alignment horizontal="center" vertical="center"/>
    </xf>
    <xf numFmtId="164" fontId="18" fillId="0" borderId="128" xfId="0" applyNumberFormat="1" applyFont="1" applyBorder="1" applyAlignment="1">
      <alignment horizontal="center" vertical="center"/>
    </xf>
    <xf numFmtId="0" fontId="18" fillId="0" borderId="188" xfId="0" applyFont="1" applyBorder="1" applyAlignment="1">
      <alignment horizontal="center" vertical="center" wrapText="1"/>
    </xf>
    <xf numFmtId="9" fontId="18" fillId="0" borderId="214" xfId="0" applyNumberFormat="1" applyFont="1" applyBorder="1" applyAlignment="1">
      <alignment horizontal="center" vertical="center"/>
    </xf>
    <xf numFmtId="9" fontId="18" fillId="0" borderId="71" xfId="0" applyNumberFormat="1" applyFont="1" applyBorder="1" applyAlignment="1">
      <alignment horizontal="center" vertical="center"/>
    </xf>
    <xf numFmtId="9" fontId="18" fillId="0" borderId="189" xfId="0" applyNumberFormat="1" applyFont="1" applyBorder="1" applyAlignment="1">
      <alignment horizontal="center" vertical="center"/>
    </xf>
    <xf numFmtId="0" fontId="35" fillId="10" borderId="185" xfId="0" applyFont="1" applyFill="1" applyBorder="1" applyAlignment="1">
      <alignment horizontal="left" vertical="top" wrapText="1"/>
    </xf>
    <xf numFmtId="0" fontId="18" fillId="0" borderId="153" xfId="0" applyFont="1" applyBorder="1" applyAlignment="1">
      <alignment horizontal="left" vertical="top" wrapText="1"/>
    </xf>
    <xf numFmtId="0" fontId="18" fillId="0" borderId="120" xfId="0" applyFont="1" applyBorder="1" applyAlignment="1">
      <alignment horizontal="left" vertical="top" wrapText="1"/>
    </xf>
    <xf numFmtId="0" fontId="12" fillId="9" borderId="206" xfId="0" applyFont="1" applyFill="1" applyBorder="1" applyAlignment="1">
      <alignment horizontal="center" vertical="center" wrapText="1"/>
    </xf>
    <xf numFmtId="0" fontId="35" fillId="0" borderId="21" xfId="0" applyFont="1" applyBorder="1" applyAlignment="1">
      <alignment horizontal="left" vertical="center" wrapText="1"/>
    </xf>
    <xf numFmtId="0" fontId="19" fillId="0" borderId="203" xfId="0" applyFont="1" applyBorder="1" applyAlignment="1" applyProtection="1">
      <alignment horizontal="center" vertical="center" wrapText="1"/>
      <protection locked="0" hidden="1"/>
    </xf>
    <xf numFmtId="0" fontId="18" fillId="0" borderId="203" xfId="0" applyFont="1" applyBorder="1" applyAlignment="1">
      <alignment horizontal="left" vertical="center" wrapText="1"/>
    </xf>
    <xf numFmtId="0" fontId="12" fillId="9" borderId="103" xfId="0" applyFont="1" applyFill="1" applyBorder="1" applyAlignment="1">
      <alignment horizontal="center" vertical="center"/>
    </xf>
    <xf numFmtId="0" fontId="12" fillId="9" borderId="216" xfId="0" applyFont="1" applyFill="1" applyBorder="1" applyAlignment="1">
      <alignment horizontal="center" vertical="center"/>
    </xf>
    <xf numFmtId="164" fontId="18" fillId="0" borderId="143" xfId="0" applyNumberFormat="1" applyFont="1" applyBorder="1" applyAlignment="1">
      <alignment horizontal="center" vertical="center"/>
    </xf>
    <xf numFmtId="164" fontId="18" fillId="0" borderId="144" xfId="0" applyNumberFormat="1" applyFont="1" applyBorder="1" applyAlignment="1">
      <alignment horizontal="center" vertical="center"/>
    </xf>
    <xf numFmtId="0" fontId="18" fillId="0" borderId="191" xfId="0" applyFont="1" applyBorder="1" applyAlignment="1">
      <alignment horizontal="center" vertical="center" wrapText="1"/>
    </xf>
    <xf numFmtId="0" fontId="18" fillId="0" borderId="187" xfId="0" applyFont="1" applyBorder="1" applyAlignment="1">
      <alignment horizontal="center" vertical="center" wrapText="1"/>
    </xf>
    <xf numFmtId="0" fontId="18" fillId="0" borderId="61" xfId="0" applyFont="1" applyBorder="1" applyAlignment="1">
      <alignment horizontal="center" vertical="center" wrapText="1"/>
    </xf>
    <xf numFmtId="0" fontId="11" fillId="0" borderId="192" xfId="0" applyFont="1" applyBorder="1" applyAlignment="1">
      <alignment horizontal="center" vertical="center"/>
    </xf>
    <xf numFmtId="0" fontId="11" fillId="0" borderId="188" xfId="0" applyFont="1" applyBorder="1" applyAlignment="1">
      <alignment horizontal="center" vertical="center"/>
    </xf>
    <xf numFmtId="164" fontId="18" fillId="0" borderId="64" xfId="0" applyNumberFormat="1" applyFont="1" applyBorder="1" applyAlignment="1">
      <alignment horizontal="center" vertical="center"/>
    </xf>
    <xf numFmtId="164" fontId="18" fillId="0" borderId="62" xfId="0" applyNumberFormat="1" applyFont="1" applyBorder="1" applyAlignment="1">
      <alignment horizontal="center" vertical="center"/>
    </xf>
    <xf numFmtId="0" fontId="18" fillId="0" borderId="143" xfId="0" applyFont="1" applyBorder="1" applyAlignment="1">
      <alignment horizontal="left" vertical="center" wrapText="1"/>
    </xf>
    <xf numFmtId="0" fontId="18" fillId="0" borderId="144" xfId="0" applyFont="1" applyBorder="1" applyAlignment="1">
      <alignment horizontal="left" vertical="center" wrapText="1"/>
    </xf>
    <xf numFmtId="0" fontId="12" fillId="9" borderId="104" xfId="0" applyFont="1" applyFill="1" applyBorder="1" applyAlignment="1">
      <alignment horizontal="center" vertical="center"/>
    </xf>
    <xf numFmtId="0" fontId="18" fillId="0" borderId="86" xfId="0" applyFont="1" applyBorder="1" applyAlignment="1">
      <alignment horizontal="center" vertical="center" wrapText="1"/>
    </xf>
    <xf numFmtId="0" fontId="18" fillId="0" borderId="99"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100" xfId="0" applyFont="1" applyBorder="1" applyAlignment="1">
      <alignment horizontal="center" vertical="center" wrapText="1"/>
    </xf>
    <xf numFmtId="0" fontId="26" fillId="0" borderId="53" xfId="0" applyFont="1" applyBorder="1" applyAlignment="1">
      <alignment horizontal="center"/>
    </xf>
    <xf numFmtId="0" fontId="26" fillId="0" borderId="26" xfId="0" applyFont="1" applyBorder="1" applyAlignment="1">
      <alignment horizontal="center"/>
    </xf>
  </cellXfs>
  <cellStyles count="2">
    <cellStyle name="Normal" xfId="0" builtinId="0"/>
    <cellStyle name="Percent" xfId="1" builtinId="5"/>
  </cellStyles>
  <dxfs count="3">
    <dxf>
      <fill>
        <patternFill>
          <bgColor rgb="FF92D050"/>
        </patternFill>
      </fill>
    </dxf>
    <dxf>
      <fill>
        <patternFill>
          <bgColor rgb="FF92D050"/>
        </patternFill>
      </fill>
    </dxf>
    <dxf>
      <fill>
        <patternFill>
          <bgColor rgb="FFFF5B5B"/>
        </patternFill>
      </fill>
    </dxf>
  </dxfs>
  <tableStyles count="0" defaultTableStyle="TableStyleMedium2" defaultPivotStyle="PivotStyleLight16"/>
  <colors>
    <mruColors>
      <color rgb="FFF07D7D"/>
      <color rgb="FF22A2A8"/>
      <color rgb="FF96330F"/>
      <color rgb="FFC97A00"/>
      <color rgb="FFC97AFF"/>
      <color rgb="FF71725B"/>
      <color rgb="FF0DB02B"/>
      <color rgb="FF0038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944301</xdr:colOff>
      <xdr:row>9</xdr:row>
      <xdr:rowOff>0</xdr:rowOff>
    </xdr:from>
    <xdr:ext cx="1553154" cy="445511"/>
    <xdr:pic>
      <xdr:nvPicPr>
        <xdr:cNvPr id="2" name="Picture 1" hidden="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12</xdr:col>
      <xdr:colOff>944301</xdr:colOff>
      <xdr:row>9</xdr:row>
      <xdr:rowOff>0</xdr:rowOff>
    </xdr:from>
    <xdr:ext cx="1553154" cy="443183"/>
    <xdr:pic>
      <xdr:nvPicPr>
        <xdr:cNvPr id="3" name="Picture 2" hidden="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12</xdr:col>
      <xdr:colOff>944301</xdr:colOff>
      <xdr:row>9</xdr:row>
      <xdr:rowOff>0</xdr:rowOff>
    </xdr:from>
    <xdr:ext cx="1553154" cy="498428"/>
    <xdr:pic>
      <xdr:nvPicPr>
        <xdr:cNvPr id="4" name="Picture 3" hidden="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2</xdr:col>
      <xdr:colOff>2392680</xdr:colOff>
      <xdr:row>12</xdr:row>
      <xdr:rowOff>312420</xdr:rowOff>
    </xdr:from>
    <xdr:to>
      <xdr:col>8</xdr:col>
      <xdr:colOff>429985</xdr:colOff>
      <xdr:row>12</xdr:row>
      <xdr:rowOff>332014</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H="1" flipV="1">
          <a:off x="5151120" y="2110740"/>
          <a:ext cx="6800305" cy="19594"/>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2506980</xdr:colOff>
      <xdr:row>14</xdr:row>
      <xdr:rowOff>435429</xdr:rowOff>
    </xdr:from>
    <xdr:to>
      <xdr:col>8</xdr:col>
      <xdr:colOff>429985</xdr:colOff>
      <xdr:row>14</xdr:row>
      <xdr:rowOff>441960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H="1">
          <a:off x="5265420" y="2980509"/>
          <a:ext cx="6686005" cy="6531"/>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944301</xdr:colOff>
      <xdr:row>32</xdr:row>
      <xdr:rowOff>0</xdr:rowOff>
    </xdr:from>
    <xdr:ext cx="1553154" cy="445511"/>
    <xdr:pic>
      <xdr:nvPicPr>
        <xdr:cNvPr id="7" name="Picture 6" hidden="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5506121" y="3710940"/>
          <a:ext cx="1553154" cy="445511"/>
        </a:xfrm>
        <a:prstGeom prst="rect">
          <a:avLst/>
        </a:prstGeom>
      </xdr:spPr>
    </xdr:pic>
    <xdr:clientData/>
  </xdr:oneCellAnchor>
  <xdr:oneCellAnchor>
    <xdr:from>
      <xdr:col>12</xdr:col>
      <xdr:colOff>944301</xdr:colOff>
      <xdr:row>32</xdr:row>
      <xdr:rowOff>0</xdr:rowOff>
    </xdr:from>
    <xdr:ext cx="1553154" cy="443183"/>
    <xdr:pic>
      <xdr:nvPicPr>
        <xdr:cNvPr id="8" name="Picture 7" hidden="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5506121" y="3710940"/>
          <a:ext cx="1553154" cy="443183"/>
        </a:xfrm>
        <a:prstGeom prst="rect">
          <a:avLst/>
        </a:prstGeom>
      </xdr:spPr>
    </xdr:pic>
    <xdr:clientData/>
  </xdr:oneCellAnchor>
  <xdr:oneCellAnchor>
    <xdr:from>
      <xdr:col>12</xdr:col>
      <xdr:colOff>944301</xdr:colOff>
      <xdr:row>32</xdr:row>
      <xdr:rowOff>0</xdr:rowOff>
    </xdr:from>
    <xdr:ext cx="1553154" cy="498428"/>
    <xdr:pic>
      <xdr:nvPicPr>
        <xdr:cNvPr id="9" name="Picture 8" hidden="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5506121" y="3710940"/>
          <a:ext cx="1553154" cy="4984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944301</xdr:colOff>
      <xdr:row>0</xdr:row>
      <xdr:rowOff>39757</xdr:rowOff>
    </xdr:from>
    <xdr:ext cx="1553154" cy="445511"/>
    <xdr:pic>
      <xdr:nvPicPr>
        <xdr:cNvPr id="2" name="Picture 1" hidden="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9</xdr:col>
      <xdr:colOff>944301</xdr:colOff>
      <xdr:row>0</xdr:row>
      <xdr:rowOff>39757</xdr:rowOff>
    </xdr:from>
    <xdr:ext cx="1553154" cy="443183"/>
    <xdr:pic>
      <xdr:nvPicPr>
        <xdr:cNvPr id="3" name="Picture 2"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9</xdr:col>
      <xdr:colOff>944301</xdr:colOff>
      <xdr:row>0</xdr:row>
      <xdr:rowOff>0</xdr:rowOff>
    </xdr:from>
    <xdr:ext cx="1553154" cy="498428"/>
    <xdr:pic>
      <xdr:nvPicPr>
        <xdr:cNvPr id="4" name="Picture 3" hidden="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9</xdr:col>
      <xdr:colOff>5715</xdr:colOff>
      <xdr:row>0</xdr:row>
      <xdr:rowOff>-1905</xdr:rowOff>
    </xdr:from>
    <xdr:to>
      <xdr:col>20</xdr:col>
      <xdr:colOff>424815</xdr:colOff>
      <xdr:row>9</xdr:row>
      <xdr:rowOff>464820</xdr:rowOff>
    </xdr:to>
    <xdr:sp macro="" textlink="">
      <xdr:nvSpPr>
        <xdr:cNvPr id="5" name="TextBox 4">
          <a:extLst>
            <a:ext uri="{FF2B5EF4-FFF2-40B4-BE49-F238E27FC236}">
              <a16:creationId xmlns:a16="http://schemas.microsoft.com/office/drawing/2014/main" id="{00000000-0008-0000-0A00-000005000000}"/>
            </a:ext>
            <a:ext uri="{147F2762-F138-4A5C-976F-8EAC2B608ADB}">
              <a16:predDERef xmlns:a16="http://schemas.microsoft.com/office/drawing/2014/main" pred="{00000000-0008-0000-0A00-000004000000}"/>
            </a:ext>
          </a:extLst>
        </xdr:cNvPr>
        <xdr:cNvSpPr txBox="1"/>
      </xdr:nvSpPr>
      <xdr:spPr>
        <a:xfrm>
          <a:off x="9616440" y="-1905"/>
          <a:ext cx="9172575" cy="217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ZA" sz="1100" b="1" i="0" u="none" strike="noStrike" kern="1200" cap="none" spc="0" normalizeH="0" baseline="0" noProof="0" dirty="0">
              <a:ln>
                <a:noFill/>
              </a:ln>
              <a:solidFill>
                <a:prstClr val="black"/>
              </a:solidFill>
              <a:effectLst/>
              <a:uLnTx/>
              <a:uFillTx/>
              <a:latin typeface="+mn-lt"/>
              <a:ea typeface="+mn-ea"/>
              <a:cs typeface="+mn-cs"/>
            </a:rPr>
            <a:t>Important notes to vendors on demonstration:</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Demonstrations will be held </a:t>
          </a:r>
          <a:r>
            <a:rPr kumimoji="0" lang="en-ZA" sz="1100" b="0" i="0" u="none" strike="noStrike" kern="1200" cap="none" spc="0" normalizeH="0" baseline="0" noProof="0" dirty="0">
              <a:ln>
                <a:noFill/>
              </a:ln>
              <a:solidFill>
                <a:schemeClr val="accent1"/>
              </a:solidFill>
              <a:effectLst/>
              <a:uLnTx/>
              <a:uFillTx/>
              <a:latin typeface="+mn-lt"/>
              <a:ea typeface="+mn-ea"/>
              <a:cs typeface="+mn-cs"/>
            </a:rPr>
            <a:t>t</a:t>
          </a:r>
          <a:r>
            <a:rPr kumimoji="0" lang="en-ZA" sz="1100" b="0" i="0" u="none" strike="noStrike" kern="1200" cap="none" spc="0" normalizeH="0" baseline="0" noProof="0" dirty="0">
              <a:ln>
                <a:noFill/>
              </a:ln>
              <a:solidFill>
                <a:sysClr val="windowText" lastClr="000000"/>
              </a:solidFill>
              <a:effectLst/>
              <a:uLnTx/>
              <a:uFillTx/>
              <a:latin typeface="+mn-lt"/>
              <a:ea typeface="+mn-ea"/>
              <a:cs typeface="+mn-cs"/>
            </a:rPr>
            <a:t>o be confirmed.</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sysClr val="windowText" lastClr="000000"/>
              </a:solidFill>
              <a:effectLst/>
              <a:uLnTx/>
              <a:uFillTx/>
              <a:latin typeface="+mn-lt"/>
              <a:ea typeface="+mn-ea"/>
              <a:cs typeface="+mn-cs"/>
            </a:rPr>
            <a:t>You will have 5hrs to conclude your demonstration, this will be followed by 1h30 for questions.</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sysClr val="windowText" lastClr="000000"/>
              </a:solidFill>
              <a:effectLst/>
              <a:uLnTx/>
              <a:uFillTx/>
              <a:latin typeface="+mn-lt"/>
              <a:ea typeface="+mn-ea"/>
              <a:cs typeface="+mn-cs"/>
            </a:rPr>
            <a:t>If you are invited for a demonstration, you will have roughly 2 weeks to prepare.</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sysClr val="windowText" lastClr="000000"/>
              </a:solidFill>
              <a:effectLst/>
              <a:uLnTx/>
              <a:uFillTx/>
              <a:latin typeface="+mn-lt"/>
              <a:ea typeface="+mn-ea"/>
              <a:cs typeface="+mn-cs"/>
            </a:rPr>
            <a:t>For the demonstration you will be required to present the back-end and/or presentation or share any preferable formats or other overall expectations, demonstrated system should not be any alpha or beta versions, it must be a final production version.</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schemeClr val="accent1"/>
              </a:solidFill>
              <a:effectLst/>
              <a:uLnTx/>
              <a:uFillTx/>
              <a:latin typeface="+mn-lt"/>
              <a:ea typeface="+mn-ea"/>
              <a:cs typeface="+mn-cs"/>
            </a:rPr>
            <a:t>The following will be required for demonstrations in person:</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All visitors are required to provide identification so please bring a driver's licence or ID, or you may not be allowed into the building.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Arrive 10 minutes early to sign in your electronic devices at security, you will be collected from the main reception by an Eskom employee.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 projector with standard VGA connector will be provided, please bring along any adapters you may need i.e. mac book adapter, HDMI etc.</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The venue does not have sound, if you need sound, please bring your own speaker</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0" i="0" u="none" strike="noStrike" kern="1200" cap="none" spc="0" normalizeH="0" baseline="0" noProof="0" dirty="0">
            <a:ln>
              <a:noFill/>
            </a:ln>
            <a:solidFill>
              <a:prstClr val="black"/>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106257</xdr:colOff>
      <xdr:row>16</xdr:row>
      <xdr:rowOff>1691</xdr:rowOff>
    </xdr:from>
    <xdr:to>
      <xdr:col>11</xdr:col>
      <xdr:colOff>0</xdr:colOff>
      <xdr:row>19</xdr:row>
      <xdr:rowOff>10583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6257" y="4207931"/>
          <a:ext cx="6766983" cy="557532"/>
        </a:xfrm>
        <a:prstGeom prst="rect">
          <a:avLst/>
        </a:prstGeom>
        <a:solidFill>
          <a:sysClr val="window" lastClr="FFFFFF"/>
        </a:solidFill>
        <a:ln w="9525" cmpd="sng">
          <a:solidFill>
            <a:sysClr val="window" lastClr="FFFFFF">
              <a:shade val="50000"/>
            </a:sysClr>
          </a:solidFill>
        </a:ln>
        <a:effectLst/>
      </xdr:spPr>
      <xdr:txBody>
        <a:bodyPr wrap="square" rtlCol="0" anchor="t"/>
        <a:lstStyle>
          <a:defPPr>
            <a:defRPr lang="en-US"/>
          </a:defPPr>
          <a:lvl1pPr marL="0" algn="l" defTabSz="914400" rtl="0" eaLnBrk="1" latinLnBrk="0" hangingPunct="1">
            <a:defRPr sz="1800" kern="1200">
              <a:solidFill>
                <a:srgbClr val="003896"/>
              </a:solidFill>
              <a:latin typeface="Arial" panose="020B0604020202020204"/>
            </a:defRPr>
          </a:lvl1pPr>
          <a:lvl2pPr marL="457200" algn="l" defTabSz="914400" rtl="0" eaLnBrk="1" latinLnBrk="0" hangingPunct="1">
            <a:defRPr sz="1800" kern="1200">
              <a:solidFill>
                <a:srgbClr val="003896"/>
              </a:solidFill>
              <a:latin typeface="Arial" panose="020B0604020202020204"/>
            </a:defRPr>
          </a:lvl2pPr>
          <a:lvl3pPr marL="914400" algn="l" defTabSz="914400" rtl="0" eaLnBrk="1" latinLnBrk="0" hangingPunct="1">
            <a:defRPr sz="1800" kern="1200">
              <a:solidFill>
                <a:srgbClr val="003896"/>
              </a:solidFill>
              <a:latin typeface="Arial" panose="020B0604020202020204"/>
            </a:defRPr>
          </a:lvl3pPr>
          <a:lvl4pPr marL="1371600" algn="l" defTabSz="914400" rtl="0" eaLnBrk="1" latinLnBrk="0" hangingPunct="1">
            <a:defRPr sz="1800" kern="1200">
              <a:solidFill>
                <a:srgbClr val="003896"/>
              </a:solidFill>
              <a:latin typeface="Arial" panose="020B0604020202020204"/>
            </a:defRPr>
          </a:lvl4pPr>
          <a:lvl5pPr marL="1828800" algn="l" defTabSz="914400" rtl="0" eaLnBrk="1" latinLnBrk="0" hangingPunct="1">
            <a:defRPr sz="1800" kern="1200">
              <a:solidFill>
                <a:srgbClr val="003896"/>
              </a:solidFill>
              <a:latin typeface="Arial" panose="020B0604020202020204"/>
            </a:defRPr>
          </a:lvl5pPr>
          <a:lvl6pPr marL="2286000" algn="l" defTabSz="914400" rtl="0" eaLnBrk="1" latinLnBrk="0" hangingPunct="1">
            <a:defRPr sz="1800" kern="1200">
              <a:solidFill>
                <a:srgbClr val="003896"/>
              </a:solidFill>
              <a:latin typeface="Arial" panose="020B0604020202020204"/>
            </a:defRPr>
          </a:lvl6pPr>
          <a:lvl7pPr marL="2743200" algn="l" defTabSz="914400" rtl="0" eaLnBrk="1" latinLnBrk="0" hangingPunct="1">
            <a:defRPr sz="1800" kern="1200">
              <a:solidFill>
                <a:srgbClr val="003896"/>
              </a:solidFill>
              <a:latin typeface="Arial" panose="020B0604020202020204"/>
            </a:defRPr>
          </a:lvl7pPr>
          <a:lvl8pPr marL="3200400" algn="l" defTabSz="914400" rtl="0" eaLnBrk="1" latinLnBrk="0" hangingPunct="1">
            <a:defRPr sz="1800" kern="1200">
              <a:solidFill>
                <a:srgbClr val="003896"/>
              </a:solidFill>
              <a:latin typeface="Arial" panose="020B0604020202020204"/>
            </a:defRPr>
          </a:lvl8pPr>
          <a:lvl9pPr marL="3657600" algn="l" defTabSz="914400" rtl="0" eaLnBrk="1" latinLnBrk="0" hangingPunct="1">
            <a:defRPr sz="1800" kern="1200">
              <a:solidFill>
                <a:srgbClr val="003896"/>
              </a:solidFill>
              <a:latin typeface="Arial" panose="020B0604020202020204"/>
            </a:defRPr>
          </a:lvl9pPr>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Each Tab/worksheet describes the technical requirements under the green heading, these include the business requirements and the mandatory returnables a vendor must provide as evidence that they can meet the business requirements.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vendor may only complete the three columns with orange headings, according to the instructions in the column heading.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columns with blue headings are for internal Eskom 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rgbClr val="ED7D31">
                <a:lumMod val="75000"/>
              </a:srgbClr>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1: A tenderer must meet or exceed the listed threshold in order to pass. Any tenderer who does not meet the minimum threshold will be disqualified from the tender process.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2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2: All mandatory returnables/evidence listed in this criteria must be included in the tender submission. Returnables must be clearly marked in the technical file and numbered to align with each criteria question. </a:t>
          </a:r>
          <a:r>
            <a:rPr kumimoji="0" lang="en-ZA" sz="1200" b="1" i="0" u="sng" strike="noStrike" kern="0" cap="none" spc="0" normalizeH="0" baseline="0">
              <a:ln>
                <a:noFill/>
              </a:ln>
              <a:solidFill>
                <a:sysClr val="windowText" lastClr="000000"/>
              </a:solidFill>
              <a:effectLst/>
              <a:uLnTx/>
              <a:uFillTx/>
              <a:latin typeface="Calibri" panose="020F0502020204030204"/>
            </a:rPr>
            <a:t>Points will not be allocated for questions where no returnables/evidence has been provided.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Only vendors who pass the desktop evaluation threshold will be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Eskom will not reimburse vendors for time spent preparing for or presenting their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demonstration tab describes the business requirements and what what needs to be presented if a vendor is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threshold to pass the demonstration is stated in the scoring summary tab</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1" i="0" u="none" strike="noStrike" kern="0" cap="none" spc="0" normalizeH="0" baseline="0" noProof="0">
            <a:ln>
              <a:noFill/>
            </a:ln>
            <a:solidFill>
              <a:srgbClr val="ED7D31">
                <a:lumMod val="75000"/>
              </a:srgbClr>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100" b="1" i="0" u="none" strike="noStrike" kern="0" cap="none" spc="0" normalizeH="0" baseline="0">
              <a:ln>
                <a:noFill/>
              </a:ln>
              <a:solidFill>
                <a:sysClr val="windowText" lastClr="000000"/>
              </a:solidFill>
              <a:effectLst/>
              <a:uLnTx/>
              <a:uFillTx/>
              <a:latin typeface="Calibri" panose="020F0502020204030204"/>
            </a:rPr>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932871</xdr:colOff>
      <xdr:row>1</xdr:row>
      <xdr:rowOff>68332</xdr:rowOff>
    </xdr:from>
    <xdr:ext cx="1562679" cy="447416"/>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876471" y="251212"/>
          <a:ext cx="1562679" cy="4474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4818"/>
    <xdr:pic>
      <xdr:nvPicPr>
        <xdr:cNvPr id="2" name="Picture 1" hidden="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122341" y="39757"/>
          <a:ext cx="1553154" cy="444818"/>
        </a:xfrm>
        <a:prstGeom prst="rect">
          <a:avLst/>
        </a:prstGeom>
      </xdr:spPr>
    </xdr:pic>
    <xdr:clientData/>
  </xdr:oneCellAnchor>
  <xdr:oneCellAnchor>
    <xdr:from>
      <xdr:col>12</xdr:col>
      <xdr:colOff>944301</xdr:colOff>
      <xdr:row>0</xdr:row>
      <xdr:rowOff>39757</xdr:rowOff>
    </xdr:from>
    <xdr:ext cx="1549344" cy="446300"/>
    <xdr:pic>
      <xdr:nvPicPr>
        <xdr:cNvPr id="3" name="Picture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8122341" y="39757"/>
          <a:ext cx="1549344" cy="446300"/>
        </a:xfrm>
        <a:prstGeom prst="rect">
          <a:avLst/>
        </a:prstGeom>
      </xdr:spPr>
    </xdr:pic>
    <xdr:clientData/>
  </xdr:oneCellAnchor>
  <xdr:oneCellAnchor>
    <xdr:from>
      <xdr:col>12</xdr:col>
      <xdr:colOff>944301</xdr:colOff>
      <xdr:row>0</xdr:row>
      <xdr:rowOff>0</xdr:rowOff>
    </xdr:from>
    <xdr:ext cx="1549344" cy="494964"/>
    <xdr:pic>
      <xdr:nvPicPr>
        <xdr:cNvPr id="4" name="Picture 3"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8122341" y="0"/>
          <a:ext cx="1549344" cy="49496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12234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812234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8122341" y="0"/>
          <a:ext cx="1553154" cy="49842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494605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494605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4946051" y="0"/>
          <a:ext cx="1553154" cy="4984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5" name="Picture 4" hidden="1">
          <a:extLst>
            <a:ext uri="{FF2B5EF4-FFF2-40B4-BE49-F238E27FC236}">
              <a16:creationId xmlns:a16="http://schemas.microsoft.com/office/drawing/2014/main" id="{7740ECAF-0C09-4AF3-A8F6-C27CD629F905}"/>
            </a:ext>
          </a:extLst>
        </xdr:cNvPr>
        <xdr:cNvPicPr>
          <a:picLocks noChangeAspect="1"/>
        </xdr:cNvPicPr>
      </xdr:nvPicPr>
      <xdr:blipFill>
        <a:blip xmlns:r="http://schemas.openxmlformats.org/officeDocument/2006/relationships" r:embed="rId1"/>
        <a:stretch>
          <a:fillRect/>
        </a:stretch>
      </xdr:blipFill>
      <xdr:spPr>
        <a:xfrm>
          <a:off x="1808295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6" name="Picture 5" hidden="1">
          <a:extLst>
            <a:ext uri="{FF2B5EF4-FFF2-40B4-BE49-F238E27FC236}">
              <a16:creationId xmlns:a16="http://schemas.microsoft.com/office/drawing/2014/main" id="{54982341-E201-4A0C-85DD-A0748BB44F9F}"/>
            </a:ext>
          </a:extLst>
        </xdr:cNvPr>
        <xdr:cNvPicPr>
          <a:picLocks noChangeAspect="1"/>
        </xdr:cNvPicPr>
      </xdr:nvPicPr>
      <xdr:blipFill>
        <a:blip xmlns:r="http://schemas.openxmlformats.org/officeDocument/2006/relationships" r:embed="rId1"/>
        <a:stretch>
          <a:fillRect/>
        </a:stretch>
      </xdr:blipFill>
      <xdr:spPr>
        <a:xfrm>
          <a:off x="1808295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7" name="Picture 6" hidden="1">
          <a:extLst>
            <a:ext uri="{FF2B5EF4-FFF2-40B4-BE49-F238E27FC236}">
              <a16:creationId xmlns:a16="http://schemas.microsoft.com/office/drawing/2014/main" id="{5C83C52A-1343-484A-8BCB-4E06F3CF96F6}"/>
            </a:ext>
          </a:extLst>
        </xdr:cNvPr>
        <xdr:cNvPicPr>
          <a:picLocks noChangeAspect="1"/>
        </xdr:cNvPicPr>
      </xdr:nvPicPr>
      <xdr:blipFill>
        <a:blip xmlns:r="http://schemas.openxmlformats.org/officeDocument/2006/relationships" r:embed="rId1"/>
        <a:stretch>
          <a:fillRect/>
        </a:stretch>
      </xdr:blipFill>
      <xdr:spPr>
        <a:xfrm>
          <a:off x="18082951" y="0"/>
          <a:ext cx="1553154" cy="4984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Heiny Peck" id="{BA389EA2-4346-4A2F-857B-1F009AE1EAF2}" userId="S::PeckHG@eskom.co.za::d76039fb-a41c-4a72-8a74-a6bc0cc0d217" providerId="AD"/>
  <person displayName="Leon Jean-Louis" id="{F5C649D1-C584-489C-B7B6-CF381386BCAE}" userId="S::JLouisL@eskom.co.za::75f15992-28b8-47dd-9f42-95f94242446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05-24T12:07:36.37" personId="{BA389EA2-4346-4A2F-857B-1F009AE1EAF2}" id="{E75430E9-43E9-48A0-BB09-FF7E9AD833A3}">
    <text xml:space="preserve">The Business Requirement Specification document usually contains statements using business or plain English terminology. </text>
  </threadedComment>
  <threadedComment ref="C15" dT="2024-05-24T12:08:39.14" personId="{BA389EA2-4346-4A2F-857B-1F009AE1EAF2}" id="{BC04A9D1-4BB6-4653-94C2-28E89AA2BBCA}">
    <text xml:space="preserve">The logical design document contains a Functional Decomposition Model which has translated the BRS statements into more usable functional statements for purposes of evaluation </text>
  </threadedComment>
  <threadedComment ref="B19" dT="2024-05-27T08:52:07.19" personId="{F5C649D1-C584-489C-B7B6-CF381386BCAE}" id="{204E76B3-DCCC-4736-9EE4-E2AF023BC7B0}">
    <text xml:space="preserve">1- In this column define and as far as possible quantify the business/functional requirements in a clear statement. 
2- The statement defines only ONE requirement that will be measured and the scoring guideline (column J) must align to this. </text>
  </threadedComment>
  <threadedComment ref="I19" dT="2024-05-27T08:41:03.31" personId="{F5C649D1-C584-489C-B7B6-CF381386BCAE}" id="{AEA0F959-5ACA-49EC-856A-A17F04564678}">
    <text>1- To adjust the question weight, change the priority description (column G)
2- The tab/category weight must only be adjusted on the scoring summary tab any changes to the weighting on the scoring summary tab will automatically update here.</text>
  </threadedComment>
  <threadedComment ref="M19" dT="2024-06-03T07:57:49.45" personId="{F5C649D1-C584-489C-B7B6-CF381386BCAE}" id="{15A372FE-4F21-4570-86F1-76D547B2CC46}">
    <text>Evaluators must provide comments for every score given. The comments also assist evaluators to recall how they arrived at their score when asked at a later stage.</text>
  </threadedComment>
  <threadedComment ref="B20" dT="2024-06-03T07:47:09.54" personId="{F5C649D1-C584-489C-B7B6-CF381386BCAE}" id="{6F0ED03B-6B02-4ED2-A041-6B951068A516}">
    <text xml:space="preserve">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ext>
  </threadedComment>
  <threadedComment ref="C20" dT="2024-06-03T07:55:26.52" personId="{F5C649D1-C584-489C-B7B6-CF381386BCAE}" id="{7F862C7A-9DCB-463D-A46E-5838B726F7BC}">
    <text xml:space="preserve">Its good practice to ask a vendor to provide evidence for their answer but this is not mandatory.
NOTE: When evidence is requested, and a vendor does not provide the required evidence in their response, a TET member may not award points for that response. </text>
  </threadedComment>
  <threadedComment ref="K20" dT="2024-05-27T08:36:36.17" personId="{F5C649D1-C584-489C-B7B6-CF381386BCAE}" id="{7D78DFCD-1D22-4510-9061-48228658B0F9}">
    <text>1- The highest score will always be at the top.
2- The highest score must always equal the question weight.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33"/>
  <sheetViews>
    <sheetView zoomScale="90" zoomScaleNormal="90" workbookViewId="0">
      <selection activeCell="C20" sqref="C20:C24"/>
    </sheetView>
  </sheetViews>
  <sheetFormatPr defaultColWidth="9.1796875" defaultRowHeight="10.5" x14ac:dyDescent="0.25"/>
  <cols>
    <col min="1" max="1" width="3.1796875" style="19" bestFit="1" customWidth="1"/>
    <col min="2" max="2" width="37.1796875" style="18" customWidth="1"/>
    <col min="3" max="3" width="37.54296875" style="18" customWidth="1"/>
    <col min="4" max="5" width="23.1796875" style="18" customWidth="1"/>
    <col min="6" max="6" width="25.1796875" style="18" customWidth="1"/>
    <col min="7" max="7" width="11.453125" style="18" customWidth="1"/>
    <col min="8" max="8" width="7.54296875" style="18" customWidth="1"/>
    <col min="9" max="9" width="7.1796875" style="17" customWidth="1"/>
    <col min="10" max="10" width="26.453125" style="16" customWidth="1"/>
    <col min="11" max="11" width="5.453125" style="15" customWidth="1"/>
    <col min="12" max="12" width="5.453125" style="13" customWidth="1"/>
    <col min="13" max="13" width="40.453125" style="14" customWidth="1"/>
    <col min="14" max="14" width="8.54296875" style="13" customWidth="1"/>
    <col min="15" max="16384" width="9.1796875" style="13"/>
  </cols>
  <sheetData>
    <row r="2" spans="1:13" ht="36" customHeight="1" x14ac:dyDescent="0.25">
      <c r="B2" s="344" t="s">
        <v>0</v>
      </c>
      <c r="C2" s="344"/>
      <c r="D2" s="344"/>
      <c r="E2" s="344"/>
      <c r="F2" s="344"/>
      <c r="G2" s="344"/>
      <c r="H2" s="344"/>
      <c r="I2" s="344"/>
      <c r="J2" s="344"/>
    </row>
    <row r="3" spans="1:13" ht="22.4" customHeight="1" x14ac:dyDescent="0.25">
      <c r="A3" s="336" t="s">
        <v>1</v>
      </c>
      <c r="B3" s="336"/>
      <c r="C3" s="336"/>
      <c r="D3" s="336"/>
      <c r="E3" s="336"/>
      <c r="F3" s="336"/>
      <c r="G3" s="336"/>
      <c r="H3" s="336"/>
      <c r="I3" s="336"/>
      <c r="J3" s="336"/>
    </row>
    <row r="4" spans="1:13" ht="69" customHeight="1" x14ac:dyDescent="0.25">
      <c r="B4" s="345" t="s">
        <v>2</v>
      </c>
      <c r="C4" s="344"/>
      <c r="D4" s="344"/>
      <c r="E4" s="344"/>
      <c r="F4" s="344"/>
      <c r="G4" s="344"/>
      <c r="H4" s="344"/>
      <c r="I4" s="344"/>
      <c r="J4" s="344"/>
    </row>
    <row r="5" spans="1:13" ht="6" customHeight="1" x14ac:dyDescent="0.25">
      <c r="B5" s="106"/>
      <c r="C5" s="105"/>
      <c r="D5" s="105"/>
      <c r="E5" s="105"/>
      <c r="F5" s="105"/>
      <c r="G5" s="105"/>
      <c r="H5" s="105"/>
      <c r="I5" s="105"/>
      <c r="J5" s="105"/>
    </row>
    <row r="6" spans="1:13" ht="25.4" customHeight="1" x14ac:dyDescent="0.25">
      <c r="A6" s="336" t="s">
        <v>3</v>
      </c>
      <c r="B6" s="336"/>
      <c r="C6" s="336"/>
      <c r="D6" s="336"/>
      <c r="E6" s="336"/>
      <c r="F6" s="336"/>
      <c r="G6" s="336"/>
      <c r="H6" s="336"/>
      <c r="I6" s="336"/>
      <c r="J6" s="336"/>
    </row>
    <row r="7" spans="1:13" ht="92.15" customHeight="1" x14ac:dyDescent="0.25">
      <c r="B7" s="345" t="s">
        <v>4</v>
      </c>
      <c r="C7" s="344"/>
      <c r="D7" s="344"/>
      <c r="E7" s="344"/>
      <c r="F7" s="344"/>
      <c r="G7" s="344"/>
      <c r="H7" s="344"/>
      <c r="I7" s="344"/>
      <c r="J7" s="344"/>
    </row>
    <row r="8" spans="1:13" ht="11.5" customHeight="1" x14ac:dyDescent="0.25">
      <c r="B8" s="105"/>
      <c r="C8" s="105"/>
      <c r="D8" s="105"/>
      <c r="E8" s="105"/>
      <c r="F8" s="105"/>
      <c r="G8" s="105"/>
      <c r="H8" s="105"/>
      <c r="I8" s="105"/>
      <c r="J8" s="105"/>
    </row>
    <row r="9" spans="1:13" ht="20.5" customHeight="1" x14ac:dyDescent="0.25">
      <c r="A9" s="336" t="s">
        <v>5</v>
      </c>
      <c r="B9" s="336"/>
      <c r="C9" s="336"/>
      <c r="D9" s="336"/>
      <c r="E9" s="336"/>
      <c r="F9" s="336"/>
      <c r="G9" s="336"/>
      <c r="H9" s="336"/>
      <c r="I9" s="336"/>
      <c r="J9" s="336"/>
    </row>
    <row r="10" spans="1:13" ht="78.650000000000006" customHeight="1" x14ac:dyDescent="0.35">
      <c r="B10" s="301" t="s">
        <v>6</v>
      </c>
      <c r="C10" s="301"/>
      <c r="D10" s="301"/>
      <c r="E10" s="301"/>
      <c r="F10" s="301"/>
      <c r="G10" s="301"/>
      <c r="H10" s="301"/>
      <c r="I10" s="301"/>
      <c r="J10" s="301"/>
      <c r="K10" s="26"/>
      <c r="L10" s="26"/>
      <c r="M10" s="26"/>
    </row>
    <row r="11" spans="1:13" ht="12" customHeight="1" x14ac:dyDescent="0.3">
      <c r="B11" s="101" t="s">
        <v>7</v>
      </c>
    </row>
    <row r="12" spans="1:13" ht="12" customHeight="1" x14ac:dyDescent="0.25">
      <c r="B12" s="97"/>
    </row>
    <row r="13" spans="1:13" ht="49" customHeight="1" x14ac:dyDescent="0.25">
      <c r="B13" s="102" t="s">
        <v>8</v>
      </c>
      <c r="C13" s="103" t="s">
        <v>9</v>
      </c>
      <c r="J13" s="100" t="s">
        <v>10</v>
      </c>
    </row>
    <row r="14" spans="1:13" x14ac:dyDescent="0.25">
      <c r="B14" s="102"/>
      <c r="C14" s="102"/>
      <c r="D14" s="25"/>
      <c r="E14" s="25"/>
      <c r="F14" s="25"/>
      <c r="G14" s="25"/>
      <c r="H14" s="25"/>
    </row>
    <row r="15" spans="1:13" ht="74.150000000000006" customHeight="1" x14ac:dyDescent="0.25">
      <c r="B15" s="104" t="s">
        <v>11</v>
      </c>
      <c r="C15" s="103" t="s">
        <v>12</v>
      </c>
      <c r="J15" s="100" t="s">
        <v>13</v>
      </c>
    </row>
    <row r="16" spans="1:13" x14ac:dyDescent="0.25">
      <c r="B16" s="25"/>
      <c r="C16" s="25"/>
      <c r="D16" s="25"/>
      <c r="E16" s="25"/>
      <c r="F16" s="25"/>
      <c r="G16" s="25"/>
      <c r="H16" s="25"/>
    </row>
    <row r="17" spans="1:13" ht="11" thickBot="1" x14ac:dyDescent="0.3">
      <c r="B17" s="25"/>
      <c r="C17" s="25"/>
      <c r="D17" s="25"/>
      <c r="E17" s="25"/>
      <c r="F17" s="25"/>
      <c r="G17" s="25"/>
      <c r="H17" s="25"/>
    </row>
    <row r="18" spans="1:13" ht="14.5" customHeight="1" x14ac:dyDescent="0.2">
      <c r="A18" s="315" t="s">
        <v>14</v>
      </c>
      <c r="B18" s="317" t="s">
        <v>15</v>
      </c>
      <c r="C18" s="318"/>
      <c r="D18" s="319" t="s">
        <v>16</v>
      </c>
      <c r="E18" s="320"/>
      <c r="F18" s="321"/>
      <c r="G18" s="62"/>
      <c r="H18" s="62"/>
      <c r="I18" s="61" t="s">
        <v>17</v>
      </c>
      <c r="J18" s="60"/>
      <c r="K18" s="60"/>
      <c r="L18" s="60"/>
      <c r="M18" s="59"/>
    </row>
    <row r="19" spans="1:13" s="29" customFormat="1" ht="58.4" customHeight="1" thickBot="1" x14ac:dyDescent="0.4">
      <c r="A19" s="316"/>
      <c r="B19" s="58" t="s">
        <v>18</v>
      </c>
      <c r="C19" s="57" t="s">
        <v>19</v>
      </c>
      <c r="D19" s="56" t="s">
        <v>20</v>
      </c>
      <c r="E19" s="55" t="s">
        <v>21</v>
      </c>
      <c r="F19" s="54" t="s">
        <v>22</v>
      </c>
      <c r="G19" s="67" t="s">
        <v>23</v>
      </c>
      <c r="H19" s="52" t="s">
        <v>24</v>
      </c>
      <c r="I19" s="51" t="s">
        <v>25</v>
      </c>
      <c r="J19" s="50" t="s">
        <v>26</v>
      </c>
      <c r="K19" s="49" t="s">
        <v>27</v>
      </c>
      <c r="L19" s="48" t="s">
        <v>28</v>
      </c>
      <c r="M19" s="47" t="s">
        <v>29</v>
      </c>
    </row>
    <row r="20" spans="1:13" s="46" customFormat="1" ht="28.4" customHeight="1" x14ac:dyDescent="0.35">
      <c r="A20" s="322">
        <v>1</v>
      </c>
      <c r="B20" s="324" t="s">
        <v>30</v>
      </c>
      <c r="C20" s="326" t="s">
        <v>31</v>
      </c>
      <c r="D20" s="328"/>
      <c r="E20" s="331" t="s">
        <v>32</v>
      </c>
      <c r="F20" s="334"/>
      <c r="G20" s="306" t="s">
        <v>33</v>
      </c>
      <c r="H20" s="309">
        <f>IF(G20='Response Guidelines'!$D$80,'Response Guidelines'!$C$80, IF(G20='Response Guidelines'!$D$81,'Response Guidelines'!$C$81,IF(G20='Response Guidelines'!$D$82,'Response Guidelines'!$C$82,IF(G20='Response Guidelines'!$D$83,'Response Guidelines'!$C$83,IF(G20='Response Guidelines'!$D$84,'Response Guidelines'!$C$84,IF(G20='Response Guidelines'!$D$85,'Response Guidelines'!$C$85,IF(G20='Response Guidelines'!$D$86,'Response Guidelines'!$C$86,"No Rating")))))))</f>
        <v>3</v>
      </c>
      <c r="I20" s="311">
        <f>(H20/$H$30)/_xlfn.XLOOKUP('Scoring Summary'!$D$15,'Response Guidelines'!$D$91:$D$190,'Response Guidelines'!$C$91:$C$190,"",0,1)</f>
        <v>0.15</v>
      </c>
      <c r="J20" s="43" t="s">
        <v>34</v>
      </c>
      <c r="K20" s="42">
        <f>I20</f>
        <v>0.15</v>
      </c>
      <c r="L20" s="313"/>
      <c r="M20" s="314"/>
    </row>
    <row r="21" spans="1:13" s="46" customFormat="1" ht="1.4" hidden="1" customHeight="1" x14ac:dyDescent="0.35">
      <c r="A21" s="322"/>
      <c r="B21" s="325"/>
      <c r="C21" s="327"/>
      <c r="D21" s="329"/>
      <c r="E21" s="332"/>
      <c r="F21" s="334"/>
      <c r="G21" s="307"/>
      <c r="H21" s="310"/>
      <c r="I21" s="312"/>
      <c r="J21" s="39"/>
      <c r="K21" s="38"/>
      <c r="L21" s="304"/>
      <c r="M21" s="305"/>
    </row>
    <row r="22" spans="1:13" s="46" customFormat="1" ht="28.4" customHeight="1" x14ac:dyDescent="0.35">
      <c r="A22" s="322"/>
      <c r="B22" s="325"/>
      <c r="C22" s="327"/>
      <c r="D22" s="329"/>
      <c r="E22" s="332"/>
      <c r="F22" s="334"/>
      <c r="G22" s="307"/>
      <c r="H22" s="310"/>
      <c r="I22" s="312"/>
      <c r="J22" s="39" t="s">
        <v>35</v>
      </c>
      <c r="K22" s="38">
        <f>K20/2</f>
        <v>7.4999999999999997E-2</v>
      </c>
      <c r="L22" s="304"/>
      <c r="M22" s="305"/>
    </row>
    <row r="23" spans="1:13" s="46" customFormat="1" ht="15" hidden="1" customHeight="1" x14ac:dyDescent="0.35">
      <c r="A23" s="322"/>
      <c r="B23" s="325"/>
      <c r="C23" s="327"/>
      <c r="D23" s="329"/>
      <c r="E23" s="332"/>
      <c r="F23" s="334"/>
      <c r="G23" s="307"/>
      <c r="H23" s="310"/>
      <c r="I23" s="312"/>
      <c r="J23" s="39"/>
      <c r="K23" s="38"/>
      <c r="L23" s="304"/>
      <c r="M23" s="305"/>
    </row>
    <row r="24" spans="1:13" s="46" customFormat="1" ht="30" customHeight="1" x14ac:dyDescent="0.35">
      <c r="A24" s="323"/>
      <c r="B24" s="325"/>
      <c r="C24" s="327"/>
      <c r="D24" s="330"/>
      <c r="E24" s="333"/>
      <c r="F24" s="335"/>
      <c r="G24" s="308"/>
      <c r="H24" s="310"/>
      <c r="I24" s="312"/>
      <c r="J24" s="39" t="s">
        <v>36</v>
      </c>
      <c r="K24" s="38">
        <v>0</v>
      </c>
      <c r="L24" s="304"/>
      <c r="M24" s="305"/>
    </row>
    <row r="25" spans="1:13" s="29" customFormat="1" ht="10" x14ac:dyDescent="0.35">
      <c r="A25" s="337">
        <v>2</v>
      </c>
      <c r="B25" s="338"/>
      <c r="C25" s="305"/>
      <c r="D25" s="339"/>
      <c r="E25" s="340"/>
      <c r="F25" s="341"/>
      <c r="G25" s="342" t="s">
        <v>37</v>
      </c>
      <c r="H25" s="343">
        <f>IF(G25='Response Guidelines'!$D$80,'Response Guidelines'!$C$80, IF(G25='Response Guidelines'!$D$81,'Response Guidelines'!$C$81,IF(G25='Response Guidelines'!$D$82,'Response Guidelines'!$C$82,IF(G25='Response Guidelines'!$D$83,'Response Guidelines'!$C$83,IF(G25='Response Guidelines'!$D$84,'Response Guidelines'!$C$84,IF(G25='Response Guidelines'!$D$85,'Response Guidelines'!$C$85,IF(G25='Response Guidelines'!$D$86,'Response Guidelines'!$C$86,"No Rating")))))))</f>
        <v>6</v>
      </c>
      <c r="I25" s="311">
        <f>(H25/$H$30)/_xlfn.XLOOKUP('Scoring Summary'!$D$15,'Response Guidelines'!$D$91:$D$190,'Response Guidelines'!$C$91:$C$190,"",0,1)</f>
        <v>0.3</v>
      </c>
      <c r="J25" s="39" t="s">
        <v>38</v>
      </c>
      <c r="K25" s="38">
        <f>I25</f>
        <v>0.3</v>
      </c>
      <c r="L25" s="304"/>
      <c r="M25" s="305"/>
    </row>
    <row r="26" spans="1:13" s="29" customFormat="1" ht="10" x14ac:dyDescent="0.35">
      <c r="A26" s="337"/>
      <c r="B26" s="338"/>
      <c r="C26" s="305"/>
      <c r="D26" s="329"/>
      <c r="E26" s="332"/>
      <c r="F26" s="334"/>
      <c r="G26" s="342"/>
      <c r="H26" s="310"/>
      <c r="I26" s="312"/>
      <c r="J26" s="39" t="s">
        <v>39</v>
      </c>
      <c r="K26" s="38">
        <v>1.2E-2</v>
      </c>
      <c r="L26" s="304"/>
      <c r="M26" s="305"/>
    </row>
    <row r="27" spans="1:13" s="29" customFormat="1" ht="10" x14ac:dyDescent="0.35">
      <c r="A27" s="337"/>
      <c r="B27" s="338"/>
      <c r="C27" s="305"/>
      <c r="D27" s="329"/>
      <c r="E27" s="332"/>
      <c r="F27" s="334"/>
      <c r="G27" s="342"/>
      <c r="H27" s="310"/>
      <c r="I27" s="312"/>
      <c r="J27" s="45" t="s">
        <v>40</v>
      </c>
      <c r="K27" s="38">
        <v>0.01</v>
      </c>
      <c r="L27" s="304"/>
      <c r="M27" s="305"/>
    </row>
    <row r="28" spans="1:13" s="29" customFormat="1" ht="10" x14ac:dyDescent="0.35">
      <c r="A28" s="337"/>
      <c r="B28" s="338"/>
      <c r="C28" s="305"/>
      <c r="D28" s="329"/>
      <c r="E28" s="332"/>
      <c r="F28" s="334"/>
      <c r="G28" s="342"/>
      <c r="H28" s="310"/>
      <c r="I28" s="312"/>
      <c r="J28" s="45" t="s">
        <v>41</v>
      </c>
      <c r="K28" s="38">
        <v>5.0000000000000001E-3</v>
      </c>
      <c r="L28" s="304"/>
      <c r="M28" s="305"/>
    </row>
    <row r="29" spans="1:13" s="29" customFormat="1" thickBot="1" x14ac:dyDescent="0.4">
      <c r="A29" s="337"/>
      <c r="B29" s="338"/>
      <c r="C29" s="305"/>
      <c r="D29" s="330"/>
      <c r="E29" s="333"/>
      <c r="F29" s="335"/>
      <c r="G29" s="342"/>
      <c r="H29" s="310"/>
      <c r="I29" s="312"/>
      <c r="J29" s="39" t="s">
        <v>42</v>
      </c>
      <c r="K29" s="38">
        <v>0</v>
      </c>
      <c r="L29" s="304"/>
      <c r="M29" s="305"/>
    </row>
    <row r="30" spans="1:13" s="29" customFormat="1" ht="16.399999999999999" customHeight="1" thickBot="1" x14ac:dyDescent="0.4">
      <c r="A30" s="70"/>
      <c r="B30" s="34" t="s">
        <v>43</v>
      </c>
      <c r="C30" s="34"/>
      <c r="D30" s="69"/>
      <c r="E30" s="34"/>
      <c r="F30" s="34"/>
      <c r="G30" s="34"/>
      <c r="H30" s="33">
        <f>SUM(H20:H29)</f>
        <v>9</v>
      </c>
      <c r="I30" s="32">
        <f>SUM(I20:I29)</f>
        <v>0.44999999999999996</v>
      </c>
      <c r="J30" s="302" t="s">
        <v>44</v>
      </c>
      <c r="K30" s="303"/>
      <c r="L30" s="31">
        <f>SUM(L20:L29)</f>
        <v>0</v>
      </c>
      <c r="M30" s="68"/>
    </row>
    <row r="32" spans="1:13" ht="20.5" customHeight="1" x14ac:dyDescent="0.25">
      <c r="A32" s="336" t="s">
        <v>45</v>
      </c>
      <c r="B32" s="336"/>
      <c r="C32" s="336"/>
      <c r="D32" s="336"/>
      <c r="E32" s="336"/>
      <c r="F32" s="336"/>
      <c r="G32" s="336"/>
      <c r="H32" s="336"/>
      <c r="I32" s="336"/>
      <c r="J32" s="336"/>
    </row>
    <row r="33" spans="2:13" ht="48" customHeight="1" x14ac:dyDescent="0.35">
      <c r="B33" s="301" t="s">
        <v>46</v>
      </c>
      <c r="C33" s="301"/>
      <c r="D33" s="301"/>
      <c r="E33" s="301"/>
      <c r="F33" s="301"/>
      <c r="G33" s="301"/>
      <c r="H33" s="301"/>
      <c r="I33" s="301"/>
      <c r="J33" s="301"/>
      <c r="K33" s="26"/>
      <c r="L33" s="26"/>
      <c r="M33" s="26"/>
    </row>
  </sheetData>
  <mergeCells count="35">
    <mergeCell ref="B2:J2"/>
    <mergeCell ref="A9:J9"/>
    <mergeCell ref="A3:J3"/>
    <mergeCell ref="B4:J4"/>
    <mergeCell ref="A6:J6"/>
    <mergeCell ref="B7:J7"/>
    <mergeCell ref="A32:J32"/>
    <mergeCell ref="B33:J33"/>
    <mergeCell ref="A25:A29"/>
    <mergeCell ref="B25:B29"/>
    <mergeCell ref="C25:C29"/>
    <mergeCell ref="D25:D29"/>
    <mergeCell ref="E25:E29"/>
    <mergeCell ref="F25:F29"/>
    <mergeCell ref="G25:G29"/>
    <mergeCell ref="H25:H29"/>
    <mergeCell ref="I25:I29"/>
    <mergeCell ref="A18:A19"/>
    <mergeCell ref="B18:C18"/>
    <mergeCell ref="D18:F18"/>
    <mergeCell ref="A20:A24"/>
    <mergeCell ref="B20:B24"/>
    <mergeCell ref="C20:C24"/>
    <mergeCell ref="D20:D24"/>
    <mergeCell ref="E20:E24"/>
    <mergeCell ref="F20:F24"/>
    <mergeCell ref="B10:J10"/>
    <mergeCell ref="J30:K30"/>
    <mergeCell ref="L25:L29"/>
    <mergeCell ref="M25:M29"/>
    <mergeCell ref="G20:G24"/>
    <mergeCell ref="H20:H24"/>
    <mergeCell ref="I20:I24"/>
    <mergeCell ref="L20:L24"/>
    <mergeCell ref="M20:M24"/>
  </mergeCells>
  <dataValidations count="2">
    <dataValidation type="list" allowBlank="1" showInputMessage="1" showErrorMessage="1" sqref="D20:D24" xr:uid="{00000000-0002-0000-0000-000000000000}">
      <formula1>$J$20:$J$24</formula1>
    </dataValidation>
    <dataValidation type="list" allowBlank="1" showInputMessage="1" showErrorMessage="1" sqref="D25:D29" xr:uid="{00000000-0002-0000-0000-000001000000}">
      <formula1>$J$25:$J$29</formula1>
    </dataValidation>
  </dataValidations>
  <pageMargins left="0.25" right="0.25" top="0.75" bottom="0.75" header="0.3" footer="0.3"/>
  <pageSetup paperSize="9" scale="5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'Response Guidelines'!$D$80:$D$86</xm:f>
          </x14:formula1>
          <xm:sqref>G20:G29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97A00"/>
    <pageSetUpPr fitToPage="1"/>
  </sheetPr>
  <dimension ref="A1:L107"/>
  <sheetViews>
    <sheetView topLeftCell="A65" zoomScaleNormal="100" workbookViewId="0">
      <selection activeCell="K12" sqref="K12"/>
    </sheetView>
  </sheetViews>
  <sheetFormatPr defaultColWidth="9.1796875" defaultRowHeight="10.5" x14ac:dyDescent="0.25"/>
  <cols>
    <col min="1" max="1" width="3.1796875" style="19" bestFit="1" customWidth="1"/>
    <col min="2" max="2" width="40.81640625" style="18" customWidth="1"/>
    <col min="3" max="3" width="37.54296875" style="18" customWidth="1"/>
    <col min="4" max="4" width="10.1796875" style="18" customWidth="1"/>
    <col min="5" max="5" width="7.54296875" style="18" customWidth="1"/>
    <col min="6" max="6" width="8" style="17" customWidth="1"/>
    <col min="7" max="7" width="26" style="16" customWidth="1"/>
    <col min="8" max="8" width="5.453125" style="15" customWidth="1"/>
    <col min="9" max="9" width="5.453125" style="13" customWidth="1"/>
    <col min="10" max="10" width="40.453125" style="14" customWidth="1"/>
    <col min="11" max="11" width="8.54296875" style="13" customWidth="1"/>
    <col min="12" max="16384" width="9.1796875" style="13"/>
  </cols>
  <sheetData>
    <row r="1" spans="1:10" x14ac:dyDescent="0.25">
      <c r="B1" s="64"/>
      <c r="C1" s="64"/>
      <c r="D1" s="64"/>
      <c r="E1" s="64"/>
    </row>
    <row r="2" spans="1:10" ht="14.5" customHeight="1" x14ac:dyDescent="0.35">
      <c r="B2" s="11" t="s">
        <v>77</v>
      </c>
      <c r="C2" s="12"/>
      <c r="D2" s="63"/>
      <c r="E2" s="374" t="s">
        <v>507</v>
      </c>
      <c r="F2" s="374"/>
      <c r="G2" s="374"/>
      <c r="H2" s="374"/>
      <c r="I2" s="374"/>
      <c r="J2" s="26"/>
    </row>
    <row r="3" spans="1:10" ht="14.5" customHeight="1" x14ac:dyDescent="0.35">
      <c r="B3" s="11" t="s">
        <v>80</v>
      </c>
      <c r="C3" s="12" t="s">
        <v>587</v>
      </c>
      <c r="D3" s="63"/>
      <c r="E3" s="374"/>
      <c r="F3" s="374"/>
      <c r="G3" s="374"/>
      <c r="H3" s="374"/>
      <c r="I3" s="374"/>
      <c r="J3" s="26"/>
    </row>
    <row r="4" spans="1:10" ht="14.5" customHeight="1" x14ac:dyDescent="0.35">
      <c r="B4" s="11" t="s">
        <v>508</v>
      </c>
      <c r="C4" s="12" t="s">
        <v>78</v>
      </c>
      <c r="D4" s="63"/>
      <c r="E4" s="374"/>
      <c r="F4" s="374"/>
      <c r="G4" s="374"/>
      <c r="H4" s="374"/>
      <c r="I4" s="374"/>
      <c r="J4" s="26"/>
    </row>
    <row r="5" spans="1:10" ht="14.5" customHeight="1" x14ac:dyDescent="0.35">
      <c r="B5" s="11" t="s">
        <v>94</v>
      </c>
      <c r="C5" s="10" t="str">
        <f>'Scoring Summary'!C4</f>
        <v>&lt;Evaluator to complete&gt;</v>
      </c>
      <c r="D5" s="63"/>
      <c r="E5" s="26"/>
      <c r="F5" s="26"/>
      <c r="G5" s="26"/>
      <c r="H5" s="26"/>
      <c r="I5" s="26"/>
      <c r="J5" s="26"/>
    </row>
    <row r="6" spans="1:10" ht="14.5" customHeight="1" x14ac:dyDescent="0.35">
      <c r="B6" s="11" t="s">
        <v>83</v>
      </c>
      <c r="C6" s="10" t="str">
        <f>'Scoring Summary'!C5</f>
        <v>&lt;Evaluator to complete&gt;</v>
      </c>
      <c r="D6" s="26"/>
      <c r="E6" s="26"/>
      <c r="F6" s="26"/>
      <c r="G6" s="26"/>
      <c r="H6" s="26"/>
      <c r="I6" s="26"/>
      <c r="J6" s="26"/>
    </row>
    <row r="7" spans="1:10" ht="14.5" customHeight="1" x14ac:dyDescent="0.35">
      <c r="B7" s="11" t="s">
        <v>84</v>
      </c>
      <c r="C7" s="10" t="str">
        <f>'Scoring Summary'!C6</f>
        <v>&lt;Evaluator to complete&gt;</v>
      </c>
      <c r="D7" s="26"/>
      <c r="E7" s="26"/>
      <c r="F7" s="26"/>
      <c r="G7" s="26"/>
      <c r="H7" s="26"/>
      <c r="I7" s="26"/>
      <c r="J7" s="26"/>
    </row>
    <row r="8" spans="1:10" ht="27.65" customHeight="1" x14ac:dyDescent="0.35">
      <c r="B8" s="11" t="s">
        <v>85</v>
      </c>
      <c r="C8" s="10"/>
      <c r="D8" s="26"/>
      <c r="E8" s="26"/>
      <c r="F8" s="26"/>
      <c r="G8" s="26"/>
      <c r="H8" s="26"/>
      <c r="I8" s="26"/>
      <c r="J8" s="26"/>
    </row>
    <row r="9" spans="1:10" ht="12" customHeight="1" x14ac:dyDescent="0.25"/>
    <row r="10" spans="1:10" ht="43.4" customHeight="1" x14ac:dyDescent="0.25"/>
    <row r="11" spans="1:10" ht="43.4" customHeight="1" x14ac:dyDescent="0.25">
      <c r="B11" s="25"/>
      <c r="C11" s="25"/>
      <c r="D11" s="25"/>
      <c r="E11" s="25"/>
    </row>
    <row r="12" spans="1:10" ht="43.4" customHeight="1" x14ac:dyDescent="0.25"/>
    <row r="13" spans="1:10" ht="43.4" customHeight="1" x14ac:dyDescent="0.25">
      <c r="B13" s="25"/>
      <c r="C13" s="25"/>
      <c r="D13" s="25"/>
      <c r="E13" s="25"/>
    </row>
    <row r="14" spans="1:10" ht="11" thickBot="1" x14ac:dyDescent="0.3">
      <c r="B14" s="25"/>
      <c r="C14" s="25"/>
      <c r="D14" s="25"/>
      <c r="E14" s="25"/>
    </row>
    <row r="15" spans="1:10" ht="14.5" customHeight="1" x14ac:dyDescent="0.2">
      <c r="A15" s="315" t="s">
        <v>14</v>
      </c>
      <c r="B15" s="317" t="s">
        <v>15</v>
      </c>
      <c r="C15" s="318"/>
      <c r="D15" s="62"/>
      <c r="E15" s="62"/>
      <c r="F15" s="173" t="s">
        <v>17</v>
      </c>
      <c r="G15" s="60"/>
      <c r="H15" s="60"/>
      <c r="I15" s="60"/>
      <c r="J15" s="59"/>
    </row>
    <row r="16" spans="1:10" s="29" customFormat="1" ht="49.5" customHeight="1" x14ac:dyDescent="0.35">
      <c r="A16" s="596"/>
      <c r="B16" s="187" t="s">
        <v>95</v>
      </c>
      <c r="C16" s="57" t="s">
        <v>509</v>
      </c>
      <c r="D16" s="67" t="s">
        <v>23</v>
      </c>
      <c r="E16" s="181" t="s">
        <v>24</v>
      </c>
      <c r="F16" s="234" t="s">
        <v>25</v>
      </c>
      <c r="G16" s="182" t="s">
        <v>26</v>
      </c>
      <c r="H16" s="183" t="s">
        <v>27</v>
      </c>
      <c r="I16" s="184" t="s">
        <v>28</v>
      </c>
      <c r="J16" s="185" t="s">
        <v>29</v>
      </c>
    </row>
    <row r="17" spans="1:10" s="46" customFormat="1" ht="32.15" customHeight="1" x14ac:dyDescent="0.35">
      <c r="A17" s="999">
        <v>1</v>
      </c>
      <c r="B17" s="600" t="s">
        <v>110</v>
      </c>
      <c r="C17" s="1001" t="s">
        <v>510</v>
      </c>
      <c r="D17" s="513" t="s">
        <v>37</v>
      </c>
      <c r="E17" s="1003">
        <f>IF(D17='Response Guidelines'!$D$80,'Response Guidelines'!$C$80, IF(D17='Response Guidelines'!$D$81,'Response Guidelines'!$C$81,IF(D17='Response Guidelines'!$D$82,'Response Guidelines'!$C$82,IF(D17='Response Guidelines'!$D$83,'Response Guidelines'!$C$83,IF(D17='Response Guidelines'!$D$84,'Response Guidelines'!$C$84,IF(D17='Response Guidelines'!$D$85,'Response Guidelines'!$C$85,IF(D17='Response Guidelines'!$D$86,'Response Guidelines'!$C$86,"No Rating")))))))</f>
        <v>6</v>
      </c>
      <c r="F17" s="1005">
        <f>(E17/$F$103)/_xlfn.XLOOKUP('Scoring Summary'!$D$23,'Response Guidelines'!$D$91:$D$190,'Response Guidelines'!$C$91:$C$190,"",0,1)</f>
        <v>4.8387096774193547E-2</v>
      </c>
      <c r="G17" s="232" t="s">
        <v>511</v>
      </c>
      <c r="H17" s="233">
        <f>F17</f>
        <v>4.8387096774193547E-2</v>
      </c>
      <c r="I17" s="979" t="s">
        <v>512</v>
      </c>
      <c r="J17" s="991" t="s">
        <v>512</v>
      </c>
    </row>
    <row r="18" spans="1:10" s="46" customFormat="1" ht="24" customHeight="1" x14ac:dyDescent="0.35">
      <c r="A18" s="1000"/>
      <c r="B18" s="601"/>
      <c r="C18" s="1002"/>
      <c r="D18" s="514"/>
      <c r="E18" s="1004"/>
      <c r="F18" s="1006"/>
      <c r="G18" s="139" t="s">
        <v>513</v>
      </c>
      <c r="H18" s="140">
        <f>H17/2</f>
        <v>2.4193548387096774E-2</v>
      </c>
      <c r="I18" s="980"/>
      <c r="J18" s="992"/>
    </row>
    <row r="19" spans="1:10" s="46" customFormat="1" ht="15" customHeight="1" x14ac:dyDescent="0.35">
      <c r="A19" s="1000"/>
      <c r="B19" s="601"/>
      <c r="C19" s="1002"/>
      <c r="D19" s="514"/>
      <c r="E19" s="1004"/>
      <c r="F19" s="1006"/>
      <c r="G19" s="139" t="s">
        <v>514</v>
      </c>
      <c r="H19" s="140">
        <f>H17/2</f>
        <v>2.4193548387096774E-2</v>
      </c>
      <c r="I19" s="980"/>
      <c r="J19" s="992"/>
    </row>
    <row r="20" spans="1:10" s="46" customFormat="1" ht="218.25" customHeight="1" x14ac:dyDescent="0.35">
      <c r="A20" s="1000"/>
      <c r="B20" s="996"/>
      <c r="C20" s="1002"/>
      <c r="D20" s="514"/>
      <c r="E20" s="1004"/>
      <c r="F20" s="1007"/>
      <c r="G20" s="237" t="s">
        <v>515</v>
      </c>
      <c r="H20" s="238">
        <v>0</v>
      </c>
      <c r="I20" s="980"/>
      <c r="J20" s="992"/>
    </row>
    <row r="21" spans="1:10" s="29" customFormat="1" ht="11.25" customHeight="1" x14ac:dyDescent="0.35">
      <c r="A21" s="597">
        <v>2</v>
      </c>
      <c r="B21" s="600" t="s">
        <v>516</v>
      </c>
      <c r="C21" s="997" t="s">
        <v>517</v>
      </c>
      <c r="D21" s="513" t="s">
        <v>37</v>
      </c>
      <c r="E21" s="423">
        <f>IF(D21='Response Guidelines'!$D$80,'Response Guidelines'!$C$80, IF(D21='Response Guidelines'!$D$81,'Response Guidelines'!$C$81,IF(D21='Response Guidelines'!$D$82,'Response Guidelines'!$C$82,IF(D21='Response Guidelines'!$D$83,'Response Guidelines'!$C$83,IF(D21='Response Guidelines'!$D$84,'Response Guidelines'!$C$84,IF(D21='Response Guidelines'!$D$85,'Response Guidelines'!$C$85,IF(D21='Response Guidelines'!$D$86,'Response Guidelines'!$C$86,"No Rating")))))))</f>
        <v>6</v>
      </c>
      <c r="F21" s="976">
        <f>(E21/$F$103)/_xlfn.XLOOKUP('Scoring Summary'!$D$23,'Response Guidelines'!$D$91:$D$190,'Response Guidelines'!$C$91:$C$190,"",0,1)</f>
        <v>4.8387096774193547E-2</v>
      </c>
      <c r="G21" s="191" t="s">
        <v>518</v>
      </c>
      <c r="H21" s="176">
        <f>F21</f>
        <v>4.8387096774193547E-2</v>
      </c>
      <c r="I21" s="496"/>
      <c r="J21" s="519"/>
    </row>
    <row r="22" spans="1:10" s="29" customFormat="1" ht="110.25" customHeight="1" x14ac:dyDescent="0.35">
      <c r="A22" s="673"/>
      <c r="B22" s="996"/>
      <c r="C22" s="998"/>
      <c r="D22" s="514"/>
      <c r="E22" s="310"/>
      <c r="F22" s="987"/>
      <c r="G22" s="123" t="s">
        <v>519</v>
      </c>
      <c r="H22" s="40">
        <v>0</v>
      </c>
      <c r="I22" s="508"/>
      <c r="J22" s="560"/>
    </row>
    <row r="23" spans="1:10" s="29" customFormat="1" ht="10.4" customHeight="1" x14ac:dyDescent="0.35">
      <c r="A23" s="597">
        <v>3</v>
      </c>
      <c r="B23" s="600" t="s">
        <v>139</v>
      </c>
      <c r="C23" s="731" t="s">
        <v>520</v>
      </c>
      <c r="D23" s="513" t="s">
        <v>37</v>
      </c>
      <c r="E23" s="423">
        <f>IF(D23='Response Guidelines'!$D$80,'Response Guidelines'!$C$80, IF(D23='Response Guidelines'!$D$81,'Response Guidelines'!$C$81,IF(D23='Response Guidelines'!$D$82,'Response Guidelines'!$C$82,IF(D23='Response Guidelines'!$D$83,'Response Guidelines'!$C$83,IF(D23='Response Guidelines'!$D$84,'Response Guidelines'!$C$84,IF(D23='Response Guidelines'!$D$85,'Response Guidelines'!$C$85,IF(D23='Response Guidelines'!$D$86,'Response Guidelines'!$C$86,"No Rating")))))))</f>
        <v>6</v>
      </c>
      <c r="F23" s="976">
        <f>(E23/$F$103)/_xlfn.XLOOKUP('Scoring Summary'!$D$23,'Response Guidelines'!$D$91:$D$190,'Response Guidelines'!$C$91:$C$190,"",0,1)</f>
        <v>4.8387096774193547E-2</v>
      </c>
      <c r="G23" s="191" t="s">
        <v>521</v>
      </c>
      <c r="H23" s="176">
        <f>F23</f>
        <v>4.8387096774193547E-2</v>
      </c>
      <c r="I23" s="496"/>
      <c r="J23" s="453"/>
    </row>
    <row r="24" spans="1:10" s="29" customFormat="1" ht="12.75" customHeight="1" x14ac:dyDescent="0.35">
      <c r="A24" s="598"/>
      <c r="B24" s="963"/>
      <c r="C24" s="793"/>
      <c r="D24" s="514"/>
      <c r="E24" s="310"/>
      <c r="F24" s="993"/>
      <c r="G24" s="114" t="s">
        <v>522</v>
      </c>
      <c r="H24" s="38">
        <f>F23/2</f>
        <v>2.4193548387096774E-2</v>
      </c>
      <c r="I24" s="304"/>
      <c r="J24" s="454"/>
    </row>
    <row r="25" spans="1:10" s="29" customFormat="1" ht="12.75" customHeight="1" x14ac:dyDescent="0.35">
      <c r="A25" s="673"/>
      <c r="B25" s="963"/>
      <c r="C25" s="793"/>
      <c r="D25" s="514"/>
      <c r="E25" s="310"/>
      <c r="F25" s="993"/>
      <c r="G25" s="114" t="s">
        <v>523</v>
      </c>
      <c r="H25" s="40">
        <f>F23/2</f>
        <v>2.4193548387096774E-2</v>
      </c>
      <c r="I25" s="508"/>
      <c r="J25" s="510"/>
    </row>
    <row r="26" spans="1:10" s="29" customFormat="1" ht="46.5" customHeight="1" x14ac:dyDescent="0.35">
      <c r="A26" s="599"/>
      <c r="B26" s="715"/>
      <c r="C26" s="708"/>
      <c r="D26" s="514"/>
      <c r="E26" s="310"/>
      <c r="F26" s="987"/>
      <c r="G26" s="123" t="s">
        <v>524</v>
      </c>
      <c r="H26" s="40">
        <v>0</v>
      </c>
      <c r="I26" s="508"/>
      <c r="J26" s="510"/>
    </row>
    <row r="27" spans="1:10" s="29" customFormat="1" ht="18.649999999999999" customHeight="1" x14ac:dyDescent="0.35">
      <c r="A27" s="561">
        <v>4</v>
      </c>
      <c r="B27" s="418" t="s">
        <v>144</v>
      </c>
      <c r="C27" s="731" t="s">
        <v>525</v>
      </c>
      <c r="D27" s="569" t="s">
        <v>73</v>
      </c>
      <c r="E27" s="994">
        <f>IF(D27='Response Guidelines'!$D$80,'Response Guidelines'!$C$80, IF(D27='Response Guidelines'!$D$81,'Response Guidelines'!$C$81,IF(D27='Response Guidelines'!$D$82,'Response Guidelines'!$C$82,IF(D27='Response Guidelines'!$D$83,'Response Guidelines'!$C$83,IF(D27='Response Guidelines'!$D$84,'Response Guidelines'!$C$84,IF(D27='Response Guidelines'!$D$85,'Response Guidelines'!$C$85,IF(D27='Response Guidelines'!$D$86,'Response Guidelines'!$C$86,"No Rating")))))))</f>
        <v>5</v>
      </c>
      <c r="F27" s="988">
        <f>(E27/$F$103)/_xlfn.XLOOKUP('Scoring Summary'!$D$23,'Response Guidelines'!$D$91:$D$190,'Response Guidelines'!$C$91:$C$190,"",0,1)</f>
        <v>4.0322580645161289E-2</v>
      </c>
      <c r="G27" s="191" t="s">
        <v>526</v>
      </c>
      <c r="H27" s="176">
        <f>F27</f>
        <v>4.0322580645161289E-2</v>
      </c>
      <c r="I27" s="496"/>
      <c r="J27" s="453"/>
    </row>
    <row r="28" spans="1:10" s="29" customFormat="1" ht="90" customHeight="1" x14ac:dyDescent="0.35">
      <c r="A28" s="561"/>
      <c r="B28" s="420"/>
      <c r="C28" s="699"/>
      <c r="D28" s="570"/>
      <c r="E28" s="995"/>
      <c r="F28" s="990"/>
      <c r="G28" s="193" t="s">
        <v>527</v>
      </c>
      <c r="H28" s="266">
        <v>0</v>
      </c>
      <c r="I28" s="497"/>
      <c r="J28" s="455"/>
    </row>
    <row r="29" spans="1:10" s="29" customFormat="1" ht="11.15" customHeight="1" x14ac:dyDescent="0.35">
      <c r="A29" s="597">
        <v>5</v>
      </c>
      <c r="B29" s="1029" t="s">
        <v>148</v>
      </c>
      <c r="C29" s="728" t="s">
        <v>528</v>
      </c>
      <c r="D29" s="488" t="s">
        <v>37</v>
      </c>
      <c r="E29" s="1009">
        <f>IF(D29='Response Guidelines'!$D$80,'Response Guidelines'!$C$80, IF(D29='Response Guidelines'!$D$81,'Response Guidelines'!$C$81,IF(D29='Response Guidelines'!$D$82,'Response Guidelines'!$C$82,IF(D29='Response Guidelines'!$D$83,'Response Guidelines'!$C$83,IF(D29='Response Guidelines'!$D$84,'Response Guidelines'!$C$84,IF(D29='Response Guidelines'!$D$85,'Response Guidelines'!$C$85,IF(D29='Response Guidelines'!$D$86,'Response Guidelines'!$C$86,"No Rating")))))))</f>
        <v>6</v>
      </c>
      <c r="F29" s="1011">
        <f>(E29/$F$103)/_xlfn.XLOOKUP('Scoring Summary'!$D$23,'Response Guidelines'!$D$91:$D$190,'Response Guidelines'!$C$91:$C$190,"",0,1)</f>
        <v>4.8387096774193547E-2</v>
      </c>
      <c r="G29" s="126" t="s">
        <v>150</v>
      </c>
      <c r="H29" s="42">
        <f>F29</f>
        <v>4.8387096774193547E-2</v>
      </c>
      <c r="I29" s="313"/>
      <c r="J29" s="509"/>
    </row>
    <row r="30" spans="1:10" s="29" customFormat="1" ht="90.75" customHeight="1" x14ac:dyDescent="0.35">
      <c r="A30" s="673"/>
      <c r="B30" s="715"/>
      <c r="C30" s="708"/>
      <c r="D30" s="490"/>
      <c r="E30" s="1010"/>
      <c r="F30" s="1012"/>
      <c r="G30" s="123" t="s">
        <v>529</v>
      </c>
      <c r="H30" s="40">
        <v>0</v>
      </c>
      <c r="I30" s="508"/>
      <c r="J30" s="510"/>
    </row>
    <row r="31" spans="1:10" s="29" customFormat="1" ht="38.25" customHeight="1" x14ac:dyDescent="0.35">
      <c r="A31" s="390"/>
      <c r="B31" s="974" t="s">
        <v>530</v>
      </c>
      <c r="C31" s="1017" t="s">
        <v>157</v>
      </c>
      <c r="D31" s="429" t="s">
        <v>37</v>
      </c>
      <c r="E31" s="607">
        <f>IF(D31='Response Guidelines'!$D$80,'Response Guidelines'!$C$80, IF(D31='Response Guidelines'!$D$81,'Response Guidelines'!$C$81,IF(D31='Response Guidelines'!$D$82,'Response Guidelines'!$C$82,IF(D31='Response Guidelines'!$D$83,'Response Guidelines'!$C$83,IF(D31='Response Guidelines'!$D$84,'Response Guidelines'!$C$84,IF(D31='Response Guidelines'!$D$85,'Response Guidelines'!$C$85,IF(D31='Response Guidelines'!$D$86,'Response Guidelines'!$C$86,"No Rating")))))))</f>
        <v>6</v>
      </c>
      <c r="F31" s="984">
        <f>(E31/$F$103)/_xlfn.XLOOKUP('Scoring Summary'!$D$23,'Response Guidelines'!$D$91:$D$190,'Response Guidelines'!$C$91:$C$190,"",0,1)</f>
        <v>4.8387096774193547E-2</v>
      </c>
      <c r="G31" s="265" t="s">
        <v>158</v>
      </c>
      <c r="H31" s="243">
        <f>F31</f>
        <v>4.8387096774193547E-2</v>
      </c>
      <c r="I31" s="558"/>
      <c r="J31" s="505"/>
    </row>
    <row r="32" spans="1:10" s="29" customFormat="1" ht="73.5" customHeight="1" x14ac:dyDescent="0.35">
      <c r="A32" s="389"/>
      <c r="B32" s="975"/>
      <c r="C32" s="1018"/>
      <c r="D32" s="430"/>
      <c r="E32" s="608"/>
      <c r="F32" s="985"/>
      <c r="G32" s="279" t="s">
        <v>159</v>
      </c>
      <c r="H32" s="266">
        <v>0</v>
      </c>
      <c r="I32" s="486"/>
      <c r="J32" s="506"/>
    </row>
    <row r="33" spans="1:10" s="29" customFormat="1" ht="11.25" customHeight="1" x14ac:dyDescent="0.35">
      <c r="A33" s="390">
        <v>7</v>
      </c>
      <c r="B33" s="1026" t="s">
        <v>531</v>
      </c>
      <c r="C33" s="1025" t="s">
        <v>160</v>
      </c>
      <c r="D33" s="983" t="s">
        <v>73</v>
      </c>
      <c r="E33" s="1014">
        <f>IF(D33='Response Guidelines'!$D$80,'Response Guidelines'!$C$80, IF(D33='Response Guidelines'!$D$81,'Response Guidelines'!$C$81,IF(D33='Response Guidelines'!$D$82,'Response Guidelines'!$C$82,IF(D33='Response Guidelines'!$D$83,'Response Guidelines'!$C$83,IF(D33='Response Guidelines'!$D$84,'Response Guidelines'!$C$84,IF(D33='Response Guidelines'!$D$85,'Response Guidelines'!$C$85,IF(D33='Response Guidelines'!$D$86,'Response Guidelines'!$C$86,"No Rating")))))))</f>
        <v>5</v>
      </c>
      <c r="F33" s="1016">
        <f>(E33/$F$103)/_xlfn.XLOOKUP('Scoring Summary'!$D$23,'Response Guidelines'!$D$91:$D$190,'Response Guidelines'!$C$91:$C$190,"",0,1)</f>
        <v>4.0322580645161289E-2</v>
      </c>
      <c r="G33" s="258" t="s">
        <v>161</v>
      </c>
      <c r="H33" s="280">
        <f>F33</f>
        <v>4.0322580645161289E-2</v>
      </c>
      <c r="I33" s="1022"/>
      <c r="J33" s="639"/>
    </row>
    <row r="34" spans="1:10" s="29" customFormat="1" ht="10.25" customHeight="1" x14ac:dyDescent="0.35">
      <c r="A34" s="389"/>
      <c r="B34" s="1026"/>
      <c r="C34" s="1025"/>
      <c r="D34" s="499"/>
      <c r="E34" s="1014"/>
      <c r="F34" s="1016"/>
      <c r="G34" s="134" t="s">
        <v>162</v>
      </c>
      <c r="H34" s="277">
        <f>F33*(13/14)</f>
        <v>3.7442396313364053E-2</v>
      </c>
      <c r="I34" s="1023"/>
      <c r="J34" s="615"/>
    </row>
    <row r="35" spans="1:10" s="29" customFormat="1" ht="10.25" customHeight="1" x14ac:dyDescent="0.35">
      <c r="A35" s="389"/>
      <c r="B35" s="1026"/>
      <c r="C35" s="1025"/>
      <c r="D35" s="499"/>
      <c r="E35" s="1014"/>
      <c r="F35" s="1016"/>
      <c r="G35" s="134" t="s">
        <v>163</v>
      </c>
      <c r="H35" s="277">
        <f>F33*(12/14)</f>
        <v>3.4562211981566816E-2</v>
      </c>
      <c r="I35" s="1023"/>
      <c r="J35" s="615"/>
    </row>
    <row r="36" spans="1:10" s="29" customFormat="1" ht="11.25" customHeight="1" x14ac:dyDescent="0.35">
      <c r="A36" s="389"/>
      <c r="B36" s="1026"/>
      <c r="C36" s="1025"/>
      <c r="D36" s="499"/>
      <c r="E36" s="1014"/>
      <c r="F36" s="1016"/>
      <c r="G36" s="134" t="s">
        <v>164</v>
      </c>
      <c r="H36" s="277">
        <f>F33*(11/14)</f>
        <v>3.1682027649769587E-2</v>
      </c>
      <c r="I36" s="1023"/>
      <c r="J36" s="615"/>
    </row>
    <row r="37" spans="1:10" s="29" customFormat="1" ht="15" customHeight="1" x14ac:dyDescent="0.35">
      <c r="A37" s="389"/>
      <c r="B37" s="1026"/>
      <c r="C37" s="1025"/>
      <c r="D37" s="499"/>
      <c r="E37" s="1014"/>
      <c r="F37" s="1016"/>
      <c r="G37" s="134" t="s">
        <v>165</v>
      </c>
      <c r="H37" s="277">
        <f>F33*(10/14)</f>
        <v>2.880184331797235E-2</v>
      </c>
      <c r="I37" s="1023"/>
      <c r="J37" s="615"/>
    </row>
    <row r="38" spans="1:10" s="29" customFormat="1" ht="10.4" customHeight="1" x14ac:dyDescent="0.35">
      <c r="A38" s="389"/>
      <c r="B38" s="1026"/>
      <c r="C38" s="1025"/>
      <c r="D38" s="499"/>
      <c r="E38" s="1014"/>
      <c r="F38" s="1016"/>
      <c r="G38" s="134" t="s">
        <v>166</v>
      </c>
      <c r="H38" s="277">
        <f>F33*(9/14)</f>
        <v>2.5921658986175117E-2</v>
      </c>
      <c r="I38" s="1023"/>
      <c r="J38" s="615"/>
    </row>
    <row r="39" spans="1:10" s="29" customFormat="1" ht="12.75" customHeight="1" x14ac:dyDescent="0.35">
      <c r="A39" s="389"/>
      <c r="B39" s="1026"/>
      <c r="C39" s="1025"/>
      <c r="D39" s="499"/>
      <c r="E39" s="1014"/>
      <c r="F39" s="1016"/>
      <c r="G39" s="134" t="s">
        <v>167</v>
      </c>
      <c r="H39" s="277">
        <f>F33*(8/14)</f>
        <v>2.3041474654377878E-2</v>
      </c>
      <c r="I39" s="1023"/>
      <c r="J39" s="615"/>
    </row>
    <row r="40" spans="1:10" s="29" customFormat="1" ht="12.75" customHeight="1" x14ac:dyDescent="0.35">
      <c r="A40" s="389"/>
      <c r="B40" s="1026"/>
      <c r="C40" s="1025"/>
      <c r="D40" s="499"/>
      <c r="E40" s="1014"/>
      <c r="F40" s="1016"/>
      <c r="G40" s="134" t="s">
        <v>168</v>
      </c>
      <c r="H40" s="277">
        <f>F33*(7/14)</f>
        <v>2.0161290322580645E-2</v>
      </c>
      <c r="I40" s="1023"/>
      <c r="J40" s="615"/>
    </row>
    <row r="41" spans="1:10" s="29" customFormat="1" ht="12.75" customHeight="1" x14ac:dyDescent="0.35">
      <c r="A41" s="389"/>
      <c r="B41" s="1026"/>
      <c r="C41" s="1025"/>
      <c r="D41" s="499"/>
      <c r="E41" s="1014"/>
      <c r="F41" s="1016"/>
      <c r="G41" s="134" t="s">
        <v>169</v>
      </c>
      <c r="H41" s="277">
        <f>F33*(6/14)</f>
        <v>1.7281105990783408E-2</v>
      </c>
      <c r="I41" s="1023"/>
      <c r="J41" s="615"/>
    </row>
    <row r="42" spans="1:10" s="29" customFormat="1" ht="15" customHeight="1" x14ac:dyDescent="0.35">
      <c r="A42" s="389"/>
      <c r="B42" s="1026"/>
      <c r="C42" s="1025"/>
      <c r="D42" s="499"/>
      <c r="E42" s="1014"/>
      <c r="F42" s="1016"/>
      <c r="G42" s="134" t="s">
        <v>170</v>
      </c>
      <c r="H42" s="277">
        <f>F33*(5/14)</f>
        <v>1.4400921658986175E-2</v>
      </c>
      <c r="I42" s="1023"/>
      <c r="J42" s="615"/>
    </row>
    <row r="43" spans="1:10" s="29" customFormat="1" ht="18.649999999999999" customHeight="1" x14ac:dyDescent="0.35">
      <c r="A43" s="389"/>
      <c r="B43" s="1026"/>
      <c r="C43" s="1025"/>
      <c r="D43" s="499"/>
      <c r="E43" s="1014"/>
      <c r="F43" s="1016"/>
      <c r="G43" s="134" t="s">
        <v>171</v>
      </c>
      <c r="H43" s="277">
        <f>F33*(4/14)</f>
        <v>1.1520737327188939E-2</v>
      </c>
      <c r="I43" s="1023"/>
      <c r="J43" s="615"/>
    </row>
    <row r="44" spans="1:10" s="29" customFormat="1" ht="69" customHeight="1" x14ac:dyDescent="0.35">
      <c r="A44" s="389"/>
      <c r="B44" s="1026"/>
      <c r="C44" s="1025"/>
      <c r="D44" s="499"/>
      <c r="E44" s="1014"/>
      <c r="F44" s="1016"/>
      <c r="G44" s="134" t="s">
        <v>172</v>
      </c>
      <c r="H44" s="277">
        <f>F33*(3/14)</f>
        <v>8.6405529953917041E-3</v>
      </c>
      <c r="I44" s="1023"/>
      <c r="J44" s="615"/>
    </row>
    <row r="45" spans="1:10" s="29" customFormat="1" ht="11.15" customHeight="1" x14ac:dyDescent="0.35">
      <c r="A45" s="389"/>
      <c r="B45" s="1026"/>
      <c r="C45" s="1025"/>
      <c r="D45" s="499"/>
      <c r="E45" s="1014"/>
      <c r="F45" s="1016"/>
      <c r="G45" s="134" t="s">
        <v>173</v>
      </c>
      <c r="H45" s="277">
        <f>F33*(2/14)</f>
        <v>5.7603686635944694E-3</v>
      </c>
      <c r="I45" s="1023"/>
      <c r="J45" s="615"/>
    </row>
    <row r="46" spans="1:10" s="29" customFormat="1" ht="10" x14ac:dyDescent="0.35">
      <c r="A46" s="389"/>
      <c r="B46" s="1026"/>
      <c r="C46" s="1025"/>
      <c r="D46" s="499"/>
      <c r="E46" s="1014"/>
      <c r="F46" s="1016"/>
      <c r="G46" s="134" t="s">
        <v>174</v>
      </c>
      <c r="H46" s="277">
        <f>F33*(1/14)</f>
        <v>2.8801843317972347E-3</v>
      </c>
      <c r="I46" s="1023"/>
      <c r="J46" s="615"/>
    </row>
    <row r="47" spans="1:10" s="29" customFormat="1" ht="10" x14ac:dyDescent="0.35">
      <c r="A47" s="389"/>
      <c r="B47" s="1027"/>
      <c r="C47" s="1018"/>
      <c r="D47" s="500"/>
      <c r="E47" s="1015"/>
      <c r="F47" s="968"/>
      <c r="G47" s="278" t="s">
        <v>175</v>
      </c>
      <c r="H47" s="240">
        <f t="shared" ref="H47" si="0">F43*(11/14)</f>
        <v>0</v>
      </c>
      <c r="I47" s="1024"/>
      <c r="J47" s="1021"/>
    </row>
    <row r="48" spans="1:10" s="29" customFormat="1" ht="10" x14ac:dyDescent="0.35">
      <c r="A48" s="1028">
        <v>10</v>
      </c>
      <c r="B48" s="922" t="s">
        <v>531</v>
      </c>
      <c r="C48" s="981" t="s">
        <v>532</v>
      </c>
      <c r="D48" s="983" t="s">
        <v>33</v>
      </c>
      <c r="E48" s="586">
        <f>IF(D48='Response Guidelines'!$D$80,'Response Guidelines'!$C$80, IF(D48='Response Guidelines'!$D$81,'Response Guidelines'!$C$81,IF(D48='Response Guidelines'!$D$82,'Response Guidelines'!$C$82,IF(D48='Response Guidelines'!$D$83,'Response Guidelines'!$C$83,IF(D48='Response Guidelines'!$D$84,'Response Guidelines'!$C$84,IF(D48='Response Guidelines'!$D$85,'Response Guidelines'!$C$85,IF(D48='Response Guidelines'!$D$86,'Response Guidelines'!$C$86,"No Rating")))))))</f>
        <v>3</v>
      </c>
      <c r="F48" s="588">
        <f>(E48/$F$103)/_xlfn.XLOOKUP('Scoring Summary'!$D$23,'Response Guidelines'!$D$91:$D$190,'Response Guidelines'!$C$91:$C$190,"",0,1)</f>
        <v>2.4193548387096774E-2</v>
      </c>
      <c r="G48" s="276" t="s">
        <v>166</v>
      </c>
      <c r="H48" s="164"/>
      <c r="I48" s="1023"/>
      <c r="J48" s="639"/>
    </row>
    <row r="49" spans="1:12" s="29" customFormat="1" ht="11.15" customHeight="1" x14ac:dyDescent="0.35">
      <c r="A49" s="561"/>
      <c r="B49" s="922"/>
      <c r="C49" s="981"/>
      <c r="D49" s="499"/>
      <c r="E49" s="448"/>
      <c r="F49" s="536"/>
      <c r="G49" s="273" t="s">
        <v>167</v>
      </c>
      <c r="H49" s="110"/>
      <c r="I49" s="1023"/>
      <c r="J49" s="639"/>
    </row>
    <row r="50" spans="1:12" s="29" customFormat="1" ht="15" customHeight="1" x14ac:dyDescent="0.35">
      <c r="A50" s="561"/>
      <c r="B50" s="922"/>
      <c r="C50" s="981"/>
      <c r="D50" s="499"/>
      <c r="E50" s="448"/>
      <c r="F50" s="536"/>
      <c r="G50" s="273" t="s">
        <v>168</v>
      </c>
      <c r="H50" s="110"/>
      <c r="I50" s="1023"/>
      <c r="J50" s="639"/>
    </row>
    <row r="51" spans="1:12" s="29" customFormat="1" ht="16.399999999999999" customHeight="1" x14ac:dyDescent="0.35">
      <c r="A51" s="561"/>
      <c r="B51" s="922"/>
      <c r="C51" s="981"/>
      <c r="D51" s="499"/>
      <c r="E51" s="448"/>
      <c r="F51" s="536"/>
      <c r="G51" s="273" t="s">
        <v>169</v>
      </c>
      <c r="H51" s="110"/>
      <c r="I51" s="1023"/>
      <c r="J51" s="639"/>
    </row>
    <row r="52" spans="1:12" s="29" customFormat="1" ht="72.75" customHeight="1" x14ac:dyDescent="0.35">
      <c r="A52" s="561"/>
      <c r="B52" s="922"/>
      <c r="C52" s="981"/>
      <c r="D52" s="499"/>
      <c r="E52" s="448"/>
      <c r="F52" s="536"/>
      <c r="G52" s="273" t="s">
        <v>170</v>
      </c>
      <c r="H52" s="110"/>
      <c r="I52" s="1023"/>
      <c r="J52" s="639"/>
    </row>
    <row r="53" spans="1:12" s="29" customFormat="1" ht="16.399999999999999" customHeight="1" x14ac:dyDescent="0.35">
      <c r="A53" s="561"/>
      <c r="B53" s="922"/>
      <c r="C53" s="981"/>
      <c r="D53" s="499"/>
      <c r="E53" s="448"/>
      <c r="F53" s="536"/>
      <c r="G53" s="273" t="s">
        <v>171</v>
      </c>
      <c r="H53" s="110"/>
      <c r="I53" s="1023"/>
      <c r="J53" s="639"/>
      <c r="L53" s="68"/>
    </row>
    <row r="54" spans="1:12" ht="11.25" customHeight="1" x14ac:dyDescent="0.25">
      <c r="A54" s="561"/>
      <c r="B54" s="922"/>
      <c r="C54" s="981"/>
      <c r="D54" s="499"/>
      <c r="E54" s="448"/>
      <c r="F54" s="536"/>
      <c r="G54" s="273" t="s">
        <v>172</v>
      </c>
      <c r="H54" s="110"/>
      <c r="I54" s="1023"/>
      <c r="J54" s="639"/>
      <c r="L54" s="14"/>
    </row>
    <row r="55" spans="1:12" ht="15" customHeight="1" x14ac:dyDescent="0.25">
      <c r="A55" s="561"/>
      <c r="B55" s="922"/>
      <c r="C55" s="981"/>
      <c r="D55" s="499"/>
      <c r="E55" s="448"/>
      <c r="F55" s="536"/>
      <c r="G55" s="273" t="s">
        <v>173</v>
      </c>
      <c r="H55" s="110"/>
      <c r="I55" s="1023"/>
      <c r="J55" s="639"/>
      <c r="L55" s="14"/>
    </row>
    <row r="56" spans="1:12" ht="11.25" customHeight="1" x14ac:dyDescent="0.25">
      <c r="A56" s="561"/>
      <c r="B56" s="922"/>
      <c r="C56" s="981"/>
      <c r="D56" s="499"/>
      <c r="E56" s="448"/>
      <c r="F56" s="536"/>
      <c r="G56" s="274" t="s">
        <v>174</v>
      </c>
      <c r="H56" s="110"/>
      <c r="I56" s="1023"/>
      <c r="J56" s="639"/>
      <c r="L56" s="14"/>
    </row>
    <row r="57" spans="1:12" ht="15" customHeight="1" x14ac:dyDescent="0.25">
      <c r="A57" s="561"/>
      <c r="B57" s="930"/>
      <c r="C57" s="982"/>
      <c r="D57" s="500"/>
      <c r="E57" s="449"/>
      <c r="F57" s="537"/>
      <c r="G57" s="275" t="s">
        <v>175</v>
      </c>
      <c r="H57" s="236"/>
      <c r="I57" s="1024"/>
      <c r="J57" s="640"/>
      <c r="L57" s="14"/>
    </row>
    <row r="58" spans="1:12" ht="10" x14ac:dyDescent="0.2">
      <c r="A58" s="622">
        <v>14</v>
      </c>
      <c r="B58" s="600" t="s">
        <v>191</v>
      </c>
      <c r="C58" s="401" t="s">
        <v>533</v>
      </c>
      <c r="D58" s="429" t="s">
        <v>37</v>
      </c>
      <c r="E58" s="607">
        <f>IF(D58='Response Guidelines'!$D$80,'Response Guidelines'!$C$80, IF(D58='Response Guidelines'!$D$81,'Response Guidelines'!$C$81,IF(D58='Response Guidelines'!$D$82,'Response Guidelines'!$C$82,IF(D58='Response Guidelines'!$D$83,'Response Guidelines'!$C$83,IF(D58='Response Guidelines'!$D$84,'Response Guidelines'!$C$84,IF(D58='Response Guidelines'!$D$85,'Response Guidelines'!$C$85,IF(D58='Response Guidelines'!$D$86,'Response Guidelines'!$C$86,"No Rating")))))))</f>
        <v>6</v>
      </c>
      <c r="F58" s="964">
        <f>(E58/$F$103)/_xlfn.XLOOKUP('Scoring Summary'!$D$23,'Response Guidelines'!$D$91:$D$190,'Response Guidelines'!$C$91:$C$190,"",0,1)</f>
        <v>4.8387096774193547E-2</v>
      </c>
      <c r="G58" s="191" t="s">
        <v>534</v>
      </c>
      <c r="H58" s="176">
        <f>F58</f>
        <v>4.8387096774193547E-2</v>
      </c>
      <c r="I58" s="485"/>
      <c r="J58" s="453"/>
    </row>
    <row r="59" spans="1:12" ht="15" customHeight="1" x14ac:dyDescent="0.2">
      <c r="A59" s="624"/>
      <c r="B59" s="978"/>
      <c r="C59" s="407"/>
      <c r="D59" s="538"/>
      <c r="E59" s="539"/>
      <c r="F59" s="965"/>
      <c r="G59" s="114" t="s">
        <v>535</v>
      </c>
      <c r="H59" s="38">
        <f>F58*0.8</f>
        <v>3.870967741935484E-2</v>
      </c>
      <c r="I59" s="487"/>
      <c r="J59" s="454"/>
    </row>
    <row r="60" spans="1:12" ht="15" customHeight="1" x14ac:dyDescent="0.2">
      <c r="A60" s="624"/>
      <c r="B60" s="978"/>
      <c r="C60" s="407"/>
      <c r="D60" s="538"/>
      <c r="E60" s="539"/>
      <c r="F60" s="965"/>
      <c r="G60" s="114" t="s">
        <v>536</v>
      </c>
      <c r="H60" s="38">
        <f>F58*0.64</f>
        <v>3.0967741935483871E-2</v>
      </c>
      <c r="I60" s="487"/>
      <c r="J60" s="454"/>
    </row>
    <row r="61" spans="1:12" ht="15" customHeight="1" x14ac:dyDescent="0.2">
      <c r="A61" s="624"/>
      <c r="B61" s="978"/>
      <c r="C61" s="407"/>
      <c r="D61" s="538"/>
      <c r="E61" s="539"/>
      <c r="F61" s="965"/>
      <c r="G61" s="114" t="s">
        <v>537</v>
      </c>
      <c r="H61" s="38">
        <f>F58*0.48</f>
        <v>2.3225806451612901E-2</v>
      </c>
      <c r="I61" s="487"/>
      <c r="J61" s="454"/>
    </row>
    <row r="62" spans="1:12" ht="15" customHeight="1" x14ac:dyDescent="0.2">
      <c r="A62" s="624"/>
      <c r="B62" s="963"/>
      <c r="C62" s="407"/>
      <c r="D62" s="538"/>
      <c r="E62" s="539"/>
      <c r="F62" s="965"/>
      <c r="G62" s="114" t="s">
        <v>538</v>
      </c>
      <c r="H62" s="38">
        <f>F58*0.32</f>
        <v>1.5483870967741935E-2</v>
      </c>
      <c r="I62" s="313"/>
      <c r="J62" s="454"/>
    </row>
    <row r="63" spans="1:12" ht="15" customHeight="1" x14ac:dyDescent="0.2">
      <c r="A63" s="624"/>
      <c r="B63" s="715"/>
      <c r="C63" s="407"/>
      <c r="D63" s="538"/>
      <c r="E63" s="539"/>
      <c r="F63" s="965"/>
      <c r="G63" s="123" t="s">
        <v>539</v>
      </c>
      <c r="H63" s="40">
        <f>F58*0.16</f>
        <v>7.7419354838709677E-3</v>
      </c>
      <c r="I63" s="120"/>
      <c r="J63" s="235"/>
    </row>
    <row r="64" spans="1:12" ht="92.25" customHeight="1" x14ac:dyDescent="0.2">
      <c r="A64" s="624"/>
      <c r="B64" s="754"/>
      <c r="C64" s="402"/>
      <c r="D64" s="430"/>
      <c r="E64" s="608"/>
      <c r="F64" s="966"/>
      <c r="G64" s="193" t="s">
        <v>540</v>
      </c>
      <c r="H64" s="178">
        <v>0</v>
      </c>
      <c r="I64" s="211"/>
      <c r="J64" s="212"/>
    </row>
    <row r="65" spans="1:10" ht="15" customHeight="1" x14ac:dyDescent="0.2">
      <c r="A65" s="622">
        <v>15</v>
      </c>
      <c r="B65" s="432" t="s">
        <v>201</v>
      </c>
      <c r="C65" s="707" t="s">
        <v>541</v>
      </c>
      <c r="D65" s="488" t="s">
        <v>37</v>
      </c>
      <c r="E65" s="586">
        <f>IF(D65='Response Guidelines'!$D$80,'Response Guidelines'!$C$80, IF(D65='Response Guidelines'!$D$81,'Response Guidelines'!$C$81,IF(D65='Response Guidelines'!$D$82,'Response Guidelines'!$C$82,IF(D65='Response Guidelines'!$D$83,'Response Guidelines'!$C$83,IF(D65='Response Guidelines'!$D$84,'Response Guidelines'!$C$84,IF(D65='Response Guidelines'!$D$85,'Response Guidelines'!$C$85,IF(D65='Response Guidelines'!$D$86,'Response Guidelines'!$C$86,"No Rating")))))))</f>
        <v>6</v>
      </c>
      <c r="F65" s="1019">
        <f>(E65/$F$103)/_xlfn.XLOOKUP('Scoring Summary'!$D$23,'Response Guidelines'!$D$91:$D$190,'Response Guidelines'!$C$91:$C$190,"",0,1)</f>
        <v>4.8387096774193547E-2</v>
      </c>
      <c r="G65" s="126" t="s">
        <v>518</v>
      </c>
      <c r="H65" s="42">
        <f>F65</f>
        <v>4.8387096774193547E-2</v>
      </c>
      <c r="I65" s="313"/>
      <c r="J65" s="1013"/>
    </row>
    <row r="66" spans="1:10" ht="75.75" customHeight="1" x14ac:dyDescent="0.2">
      <c r="A66" s="624"/>
      <c r="B66" s="432"/>
      <c r="C66" s="707"/>
      <c r="D66" s="490"/>
      <c r="E66" s="587"/>
      <c r="F66" s="1020"/>
      <c r="G66" s="123" t="s">
        <v>519</v>
      </c>
      <c r="H66" s="40">
        <v>0</v>
      </c>
      <c r="I66" s="508"/>
      <c r="J66" s="560"/>
    </row>
    <row r="67" spans="1:10" ht="15" customHeight="1" x14ac:dyDescent="0.2">
      <c r="A67" s="622">
        <v>16</v>
      </c>
      <c r="B67" s="718" t="s">
        <v>207</v>
      </c>
      <c r="C67" s="698" t="s">
        <v>542</v>
      </c>
      <c r="D67" s="569" t="s">
        <v>37</v>
      </c>
      <c r="E67" s="447">
        <f>IF(D67='Response Guidelines'!$D$80,'Response Guidelines'!$C$80, IF(D67='Response Guidelines'!$D$81,'Response Guidelines'!$C$81,IF(D67='Response Guidelines'!$D$82,'Response Guidelines'!$C$82,IF(D67='Response Guidelines'!$D$83,'Response Guidelines'!$C$83,IF(D67='Response Guidelines'!$D$84,'Response Guidelines'!$C$84,IF(D67='Response Guidelines'!$D$85,'Response Guidelines'!$C$85,IF(D67='Response Guidelines'!$D$86,'Response Guidelines'!$C$86,"No Rating")))))))</f>
        <v>6</v>
      </c>
      <c r="F67" s="988">
        <f>(E67/$F$103)/_xlfn.XLOOKUP('Scoring Summary'!$D$23,'Response Guidelines'!$D$91:$D$190,'Response Guidelines'!$C$91:$C$190,"",0,1)</f>
        <v>4.8387096774193547E-2</v>
      </c>
      <c r="G67" s="209" t="s">
        <v>543</v>
      </c>
      <c r="H67" s="243">
        <f>F67</f>
        <v>4.8387096774193547E-2</v>
      </c>
      <c r="I67" s="496"/>
      <c r="J67" s="453"/>
    </row>
    <row r="68" spans="1:10" ht="15" customHeight="1" x14ac:dyDescent="0.2">
      <c r="A68" s="624"/>
      <c r="B68" s="714"/>
      <c r="C68" s="707"/>
      <c r="D68" s="489"/>
      <c r="E68" s="448"/>
      <c r="F68" s="989"/>
      <c r="G68" s="112" t="s">
        <v>544</v>
      </c>
      <c r="H68" s="110">
        <f>F67*0.75</f>
        <v>3.6290322580645157E-2</v>
      </c>
      <c r="I68" s="304"/>
      <c r="J68" s="454"/>
    </row>
    <row r="69" spans="1:10" ht="15" customHeight="1" x14ac:dyDescent="0.2">
      <c r="A69" s="624"/>
      <c r="B69" s="714"/>
      <c r="C69" s="707"/>
      <c r="D69" s="489"/>
      <c r="E69" s="448"/>
      <c r="F69" s="989"/>
      <c r="G69" s="112" t="s">
        <v>545</v>
      </c>
      <c r="H69" s="110">
        <f>H67*0.5</f>
        <v>2.4193548387096774E-2</v>
      </c>
      <c r="I69" s="508"/>
      <c r="J69" s="510"/>
    </row>
    <row r="70" spans="1:10" ht="15" customHeight="1" x14ac:dyDescent="0.2">
      <c r="A70" s="624"/>
      <c r="B70" s="714"/>
      <c r="C70" s="707"/>
      <c r="D70" s="489"/>
      <c r="E70" s="448"/>
      <c r="F70" s="989"/>
      <c r="G70" s="112" t="s">
        <v>546</v>
      </c>
      <c r="H70" s="110">
        <f>H67*0.25</f>
        <v>1.2096774193548387E-2</v>
      </c>
      <c r="I70" s="508"/>
      <c r="J70" s="510"/>
    </row>
    <row r="71" spans="1:10" ht="94.5" customHeight="1" x14ac:dyDescent="0.2">
      <c r="A71" s="624"/>
      <c r="B71" s="719"/>
      <c r="C71" s="720"/>
      <c r="D71" s="570"/>
      <c r="E71" s="449"/>
      <c r="F71" s="990"/>
      <c r="G71" s="210" t="s">
        <v>547</v>
      </c>
      <c r="H71" s="236">
        <v>0</v>
      </c>
      <c r="I71" s="497"/>
      <c r="J71" s="455"/>
    </row>
    <row r="72" spans="1:10" ht="15" customHeight="1" x14ac:dyDescent="0.2">
      <c r="A72" s="622">
        <v>17</v>
      </c>
      <c r="B72" s="714" t="s">
        <v>218</v>
      </c>
      <c r="C72" s="707" t="s">
        <v>548</v>
      </c>
      <c r="D72" s="514" t="s">
        <v>73</v>
      </c>
      <c r="E72" s="310">
        <f>IF(D72='Response Guidelines'!$D$80,'Response Guidelines'!$C$80, IF(D72='Response Guidelines'!$D$81,'Response Guidelines'!$C$81,IF(D72='Response Guidelines'!$D$82,'Response Guidelines'!$C$82,IF(D72='Response Guidelines'!$D$83,'Response Guidelines'!$C$83,IF(D72='Response Guidelines'!$D$84,'Response Guidelines'!$C$84,IF(D72='Response Guidelines'!$D$85,'Response Guidelines'!$C$85,IF(D72='Response Guidelines'!$D$86,'Response Guidelines'!$C$86,"No Rating")))))))</f>
        <v>5</v>
      </c>
      <c r="F72" s="986">
        <f>(E72/$F$103)/_xlfn.XLOOKUP('Scoring Summary'!$D$23,'Response Guidelines'!$D$91:$D$190,'Response Guidelines'!$C$91:$C$190,"",0,1)</f>
        <v>4.0322580645161289E-2</v>
      </c>
      <c r="G72" s="115" t="s">
        <v>518</v>
      </c>
      <c r="H72" s="116">
        <f>F72</f>
        <v>4.0322580645161289E-2</v>
      </c>
      <c r="I72" s="313"/>
      <c r="J72" s="509"/>
    </row>
    <row r="73" spans="1:10" ht="75.75" customHeight="1" x14ac:dyDescent="0.2">
      <c r="A73" s="624"/>
      <c r="B73" s="719"/>
      <c r="C73" s="720"/>
      <c r="D73" s="515"/>
      <c r="E73" s="424"/>
      <c r="F73" s="977"/>
      <c r="G73" s="210" t="s">
        <v>519</v>
      </c>
      <c r="H73" s="236">
        <v>0</v>
      </c>
      <c r="I73" s="497"/>
      <c r="J73" s="455"/>
    </row>
    <row r="74" spans="1:10" ht="15" customHeight="1" x14ac:dyDescent="0.2">
      <c r="A74" s="622">
        <v>18</v>
      </c>
      <c r="B74" s="714" t="s">
        <v>222</v>
      </c>
      <c r="C74" s="707" t="s">
        <v>549</v>
      </c>
      <c r="D74" s="514" t="s">
        <v>73</v>
      </c>
      <c r="E74" s="310">
        <f>IF(D74='Response Guidelines'!$D$80,'Response Guidelines'!$C$80, IF(D74='Response Guidelines'!$D$81,'Response Guidelines'!$C$81,IF(D74='Response Guidelines'!$D$82,'Response Guidelines'!$C$82,IF(D74='Response Guidelines'!$D$83,'Response Guidelines'!$C$83,IF(D74='Response Guidelines'!$D$84,'Response Guidelines'!$C$84,IF(D74='Response Guidelines'!$D$85,'Response Guidelines'!$C$85,IF(D74='Response Guidelines'!$D$86,'Response Guidelines'!$C$86,"No Rating")))))))</f>
        <v>5</v>
      </c>
      <c r="F74" s="986">
        <f>(E74/$F$103)/_xlfn.XLOOKUP('Scoring Summary'!$D$23,'Response Guidelines'!$D$91:$D$190,'Response Guidelines'!$C$91:$C$190,"",0,1)</f>
        <v>4.0322580645161289E-2</v>
      </c>
      <c r="G74" s="115" t="s">
        <v>518</v>
      </c>
      <c r="H74" s="116">
        <f>F74</f>
        <v>4.0322580645161289E-2</v>
      </c>
      <c r="I74" s="313"/>
      <c r="J74" s="509"/>
    </row>
    <row r="75" spans="1:10" ht="75.75" customHeight="1" x14ac:dyDescent="0.2">
      <c r="A75" s="623"/>
      <c r="B75" s="714"/>
      <c r="C75" s="707"/>
      <c r="D75" s="514"/>
      <c r="E75" s="310"/>
      <c r="F75" s="987"/>
      <c r="G75" s="113" t="s">
        <v>519</v>
      </c>
      <c r="H75" s="111">
        <v>0</v>
      </c>
      <c r="I75" s="508"/>
      <c r="J75" s="510"/>
    </row>
    <row r="76" spans="1:10" ht="15" customHeight="1" x14ac:dyDescent="0.2">
      <c r="A76" s="624">
        <v>19</v>
      </c>
      <c r="B76" s="718" t="s">
        <v>230</v>
      </c>
      <c r="C76" s="698" t="s">
        <v>550</v>
      </c>
      <c r="D76" s="513" t="s">
        <v>73</v>
      </c>
      <c r="E76" s="423">
        <f>IF(D76='Response Guidelines'!$D$80,'Response Guidelines'!$C$80, IF(D76='Response Guidelines'!$D$81,'Response Guidelines'!$C$81,IF(D76='Response Guidelines'!$D$82,'Response Guidelines'!$C$82,IF(D76='Response Guidelines'!$D$83,'Response Guidelines'!$C$83,IF(D76='Response Guidelines'!$D$84,'Response Guidelines'!$C$84,IF(D76='Response Guidelines'!$D$85,'Response Guidelines'!$C$85,IF(D76='Response Guidelines'!$D$86,'Response Guidelines'!$C$86,"No Rating")))))))</f>
        <v>5</v>
      </c>
      <c r="F76" s="976">
        <f>(E76/$F$103)/_xlfn.XLOOKUP('Scoring Summary'!$D$23,'Response Guidelines'!$D$91:$D$190,'Response Guidelines'!$C$91:$C$190,"",0,1)</f>
        <v>4.0322580645161289E-2</v>
      </c>
      <c r="G76" s="241" t="s">
        <v>518</v>
      </c>
      <c r="H76" s="242">
        <f>F76</f>
        <v>4.0322580645161289E-2</v>
      </c>
      <c r="I76" s="496"/>
      <c r="J76" s="453"/>
    </row>
    <row r="77" spans="1:10" ht="69" customHeight="1" x14ac:dyDescent="0.2">
      <c r="A77" s="623"/>
      <c r="B77" s="719"/>
      <c r="C77" s="720"/>
      <c r="D77" s="515"/>
      <c r="E77" s="424"/>
      <c r="F77" s="977"/>
      <c r="G77" s="210" t="s">
        <v>519</v>
      </c>
      <c r="H77" s="236">
        <v>0</v>
      </c>
      <c r="I77" s="497"/>
      <c r="J77" s="455"/>
    </row>
    <row r="78" spans="1:10" ht="15" customHeight="1" x14ac:dyDescent="0.2">
      <c r="A78" s="624">
        <v>20</v>
      </c>
      <c r="B78" s="714" t="s">
        <v>238</v>
      </c>
      <c r="C78" s="707" t="s">
        <v>551</v>
      </c>
      <c r="D78" s="514" t="s">
        <v>73</v>
      </c>
      <c r="E78" s="310">
        <f>IF(D78='Response Guidelines'!$D$80,'Response Guidelines'!$C$80, IF(D78='Response Guidelines'!$D$81,'Response Guidelines'!$C$81,IF(D78='Response Guidelines'!$D$82,'Response Guidelines'!$C$82,IF(D78='Response Guidelines'!$D$83,'Response Guidelines'!$C$83,IF(D78='Response Guidelines'!$D$84,'Response Guidelines'!$C$84,IF(D78='Response Guidelines'!$D$85,'Response Guidelines'!$C$85,IF(D78='Response Guidelines'!$D$86,'Response Guidelines'!$C$86,"No Rating")))))))</f>
        <v>5</v>
      </c>
      <c r="F78" s="986">
        <f>(E78/$F$103)/_xlfn.XLOOKUP('Scoring Summary'!$D$23,'Response Guidelines'!$D$91:$D$190,'Response Guidelines'!$C$91:$C$190,"",0,1)</f>
        <v>4.0322580645161289E-2</v>
      </c>
      <c r="G78" s="115" t="s">
        <v>518</v>
      </c>
      <c r="H78" s="116">
        <f>F78</f>
        <v>4.0322580645161289E-2</v>
      </c>
      <c r="I78" s="313"/>
      <c r="J78" s="509"/>
    </row>
    <row r="79" spans="1:10" ht="78.75" customHeight="1" x14ac:dyDescent="0.2">
      <c r="A79" s="623"/>
      <c r="B79" s="714"/>
      <c r="C79" s="707"/>
      <c r="D79" s="514"/>
      <c r="E79" s="310"/>
      <c r="F79" s="987"/>
      <c r="G79" s="113" t="s">
        <v>519</v>
      </c>
      <c r="H79" s="111">
        <v>0</v>
      </c>
      <c r="I79" s="508"/>
      <c r="J79" s="510"/>
    </row>
    <row r="80" spans="1:10" ht="15" customHeight="1" x14ac:dyDescent="0.2">
      <c r="A80" s="624">
        <v>21</v>
      </c>
      <c r="B80" s="718" t="s">
        <v>242</v>
      </c>
      <c r="C80" s="698" t="s">
        <v>552</v>
      </c>
      <c r="D80" s="513" t="s">
        <v>37</v>
      </c>
      <c r="E80" s="423">
        <f>IF(D80='Response Guidelines'!$D$80,'Response Guidelines'!$C$80, IF(D80='Response Guidelines'!$D$81,'Response Guidelines'!$C$81,IF(D80='Response Guidelines'!$D$82,'Response Guidelines'!$C$82,IF(D80='Response Guidelines'!$D$83,'Response Guidelines'!$C$83,IF(D80='Response Guidelines'!$D$84,'Response Guidelines'!$C$84,IF(D80='Response Guidelines'!$D$85,'Response Guidelines'!$C$85,IF(D80='Response Guidelines'!$D$86,'Response Guidelines'!$C$86,"No Rating")))))))</f>
        <v>6</v>
      </c>
      <c r="F80" s="976">
        <f>(E80/$F$103)/_xlfn.XLOOKUP('Scoring Summary'!$D$23,'Response Guidelines'!$D$91:$D$190,'Response Guidelines'!$C$91:$C$190,"",0,1)</f>
        <v>4.8387096774193547E-2</v>
      </c>
      <c r="G80" s="209" t="s">
        <v>518</v>
      </c>
      <c r="H80" s="239">
        <f>F80</f>
        <v>4.8387096774193547E-2</v>
      </c>
      <c r="I80" s="496"/>
      <c r="J80" s="453"/>
    </row>
    <row r="81" spans="1:10" ht="75.75" customHeight="1" x14ac:dyDescent="0.2">
      <c r="A81" s="623"/>
      <c r="B81" s="719"/>
      <c r="C81" s="720"/>
      <c r="D81" s="515"/>
      <c r="E81" s="424"/>
      <c r="F81" s="977"/>
      <c r="G81" s="210" t="s">
        <v>519</v>
      </c>
      <c r="H81" s="240">
        <v>0</v>
      </c>
      <c r="I81" s="497"/>
      <c r="J81" s="455"/>
    </row>
    <row r="82" spans="1:10" ht="10" x14ac:dyDescent="0.2">
      <c r="A82" s="624">
        <v>22</v>
      </c>
      <c r="B82" s="962" t="s">
        <v>246</v>
      </c>
      <c r="C82" s="728" t="s">
        <v>553</v>
      </c>
      <c r="D82" s="514" t="s">
        <v>73</v>
      </c>
      <c r="E82" s="956">
        <f>IF(D82='Response Guidelines'!$D$80,'Response Guidelines'!$C$80, IF(D82='Response Guidelines'!$D$81,'Response Guidelines'!$C$81,IF(D82='Response Guidelines'!$D$82,'Response Guidelines'!$C$82,IF(D82='Response Guidelines'!$D$83,'Response Guidelines'!$C$83,IF(D82='Response Guidelines'!$D$84,'Response Guidelines'!$C$84,IF(D82='Response Guidelines'!$D$85,'Response Guidelines'!$C$85,IF(D82='Response Guidelines'!$D$86,'Response Guidelines'!$C$86,"No Rating")))))))</f>
        <v>5</v>
      </c>
      <c r="F82" s="959">
        <f>(E82/$F$103)/_xlfn.XLOOKUP('Scoring Summary'!$D$23,'Response Guidelines'!$D$91:$D$190,'Response Guidelines'!$C$91:$C$190,"",0,1)</f>
        <v>4.0322580645161289E-2</v>
      </c>
      <c r="G82" s="147" t="s">
        <v>554</v>
      </c>
      <c r="H82" s="42">
        <f>F82</f>
        <v>4.0322580645161289E-2</v>
      </c>
      <c r="I82" s="728"/>
      <c r="J82" s="1008"/>
    </row>
    <row r="83" spans="1:10" ht="10" x14ac:dyDescent="0.2">
      <c r="A83" s="624"/>
      <c r="B83" s="963"/>
      <c r="C83" s="793"/>
      <c r="D83" s="514"/>
      <c r="E83" s="957"/>
      <c r="F83" s="960"/>
      <c r="G83" s="148" t="s">
        <v>555</v>
      </c>
      <c r="H83" s="38">
        <f>H82*0.66</f>
        <v>2.6612903225806454E-2</v>
      </c>
      <c r="I83" s="793"/>
      <c r="J83" s="1008"/>
    </row>
    <row r="84" spans="1:10" ht="10" x14ac:dyDescent="0.2">
      <c r="A84" s="624"/>
      <c r="B84" s="963"/>
      <c r="C84" s="793"/>
      <c r="D84" s="514"/>
      <c r="E84" s="957"/>
      <c r="F84" s="960"/>
      <c r="G84" s="148" t="s">
        <v>556</v>
      </c>
      <c r="H84" s="38">
        <f>H82*0.33</f>
        <v>1.3306451612903227E-2</v>
      </c>
      <c r="I84" s="793"/>
      <c r="J84" s="1008"/>
    </row>
    <row r="85" spans="1:10" ht="104.25" customHeight="1" x14ac:dyDescent="0.2">
      <c r="A85" s="623"/>
      <c r="B85" s="715"/>
      <c r="C85" s="708"/>
      <c r="D85" s="514"/>
      <c r="E85" s="958"/>
      <c r="F85" s="961"/>
      <c r="G85" s="148" t="s">
        <v>557</v>
      </c>
      <c r="H85" s="40">
        <v>0</v>
      </c>
      <c r="I85" s="708"/>
      <c r="J85" s="1008"/>
    </row>
    <row r="86" spans="1:10" ht="40" x14ac:dyDescent="0.2">
      <c r="A86" s="389">
        <v>23</v>
      </c>
      <c r="B86" s="974" t="s">
        <v>558</v>
      </c>
      <c r="C86" s="972" t="s">
        <v>559</v>
      </c>
      <c r="D86" s="970" t="s">
        <v>72</v>
      </c>
      <c r="E86" s="969">
        <f>IF(D86='Response Guidelines'!$D$80,'Response Guidelines'!$C$80, IF(D86='Response Guidelines'!$D$81,'Response Guidelines'!$C$81,IF(D86='Response Guidelines'!$D$82,'Response Guidelines'!$C$82,IF(D86='Response Guidelines'!$D$83,'Response Guidelines'!$C$83,IF(D86='Response Guidelines'!$D$84,'Response Guidelines'!$C$84,IF(D86='Response Guidelines'!$D$85,'Response Guidelines'!$C$85,IF(D86='Response Guidelines'!$D$86,'Response Guidelines'!$C$86,"No Rating")))))))</f>
        <v>4</v>
      </c>
      <c r="F86" s="967">
        <f>(E86/$F$103)/_xlfn.XLOOKUP('Scoring Summary'!$D$23,'Response Guidelines'!$D$91:$D$190,'Response Guidelines'!$C$91:$C$190,"",0,1)</f>
        <v>3.2258064516129031E-2</v>
      </c>
      <c r="G86" s="283" t="s">
        <v>560</v>
      </c>
      <c r="H86" s="239">
        <f>F86</f>
        <v>3.2258064516129031E-2</v>
      </c>
      <c r="I86" s="1036"/>
      <c r="J86" s="1039"/>
    </row>
    <row r="87" spans="1:10" ht="30" x14ac:dyDescent="0.2">
      <c r="A87" s="389"/>
      <c r="B87" s="975"/>
      <c r="C87" s="973"/>
      <c r="D87" s="971"/>
      <c r="E87" s="608"/>
      <c r="F87" s="968"/>
      <c r="G87" s="285" t="s">
        <v>430</v>
      </c>
      <c r="H87" s="236">
        <v>0</v>
      </c>
      <c r="I87" s="1037"/>
      <c r="J87" s="1040"/>
    </row>
    <row r="88" spans="1:10" ht="50" x14ac:dyDescent="0.2">
      <c r="A88" s="1032">
        <v>24</v>
      </c>
      <c r="B88" s="1031" t="s">
        <v>561</v>
      </c>
      <c r="C88" s="437" t="s">
        <v>562</v>
      </c>
      <c r="D88" s="971" t="s">
        <v>73</v>
      </c>
      <c r="E88" s="608">
        <f>IF(D88='Response Guidelines'!$D$80,'Response Guidelines'!$C$80, IF(D88='Response Guidelines'!$D$81,'Response Guidelines'!$C$81,IF(D88='Response Guidelines'!$D$82,'Response Guidelines'!$C$82,IF(D88='Response Guidelines'!$D$83,'Response Guidelines'!$C$83,IF(D88='Response Guidelines'!$D$84,'Response Guidelines'!$C$84,IF(D88='Response Guidelines'!$D$85,'Response Guidelines'!$C$85,IF(D88='Response Guidelines'!$D$86,'Response Guidelines'!$C$86,"No Rating")))))))</f>
        <v>5</v>
      </c>
      <c r="F88" s="968">
        <f>(E88/$F$103)/_xlfn.XLOOKUP('Scoring Summary'!$D$23,'Response Guidelines'!$D$91:$D$190,'Response Guidelines'!$C$91:$C$190,"",0,1)</f>
        <v>4.0322580645161289E-2</v>
      </c>
      <c r="G88" s="272" t="s">
        <v>563</v>
      </c>
      <c r="H88" s="164">
        <f>F88</f>
        <v>4.0322580645161289E-2</v>
      </c>
      <c r="I88" s="1038"/>
      <c r="J88" s="1008"/>
    </row>
    <row r="89" spans="1:10" ht="30" x14ac:dyDescent="0.2">
      <c r="A89" s="1033"/>
      <c r="B89" s="1031"/>
      <c r="C89" s="437"/>
      <c r="D89" s="1030"/>
      <c r="E89" s="539"/>
      <c r="F89" s="1016"/>
      <c r="G89" s="284" t="s">
        <v>564</v>
      </c>
      <c r="H89" s="111">
        <v>0</v>
      </c>
      <c r="I89" s="1038"/>
      <c r="J89" s="1008"/>
    </row>
    <row r="90" spans="1:10" ht="60" x14ac:dyDescent="0.2">
      <c r="A90" s="1032">
        <v>25</v>
      </c>
      <c r="B90" s="974" t="s">
        <v>565</v>
      </c>
      <c r="C90" s="972" t="s">
        <v>566</v>
      </c>
      <c r="D90" s="569" t="s">
        <v>73</v>
      </c>
      <c r="E90" s="447">
        <f>IF(D90='Response Guidelines'!$D$80,'Response Guidelines'!$C$80, IF(D90='Response Guidelines'!$D$81,'Response Guidelines'!$C$81,IF(D90='Response Guidelines'!$D$82,'Response Guidelines'!$C$82,IF(D90='Response Guidelines'!$D$83,'Response Guidelines'!$C$83,IF(D90='Response Guidelines'!$D$84,'Response Guidelines'!$C$84,IF(D90='Response Guidelines'!$D$85,'Response Guidelines'!$C$85,IF(D90='Response Guidelines'!$D$86,'Response Guidelines'!$C$86,"No Rating")))))))</f>
        <v>5</v>
      </c>
      <c r="F90" s="1034">
        <f>(E90/$F$103)/_xlfn.XLOOKUP('Scoring Summary'!$D$23,'Response Guidelines'!$D$91:$D$190,'Response Guidelines'!$C$91:$C$190,"",0,1)</f>
        <v>4.0322580645161289E-2</v>
      </c>
      <c r="G90" s="283" t="s">
        <v>441</v>
      </c>
      <c r="H90" s="243">
        <f>F90</f>
        <v>4.0322580645161289E-2</v>
      </c>
      <c r="I90" s="1036"/>
      <c r="J90" s="1039"/>
    </row>
    <row r="91" spans="1:10" ht="20" x14ac:dyDescent="0.2">
      <c r="A91" s="1033"/>
      <c r="B91" s="975"/>
      <c r="C91" s="973"/>
      <c r="D91" s="570"/>
      <c r="E91" s="449"/>
      <c r="F91" s="1035"/>
      <c r="G91" s="271" t="s">
        <v>567</v>
      </c>
      <c r="H91" s="236">
        <v>0</v>
      </c>
      <c r="I91" s="1037"/>
      <c r="J91" s="1040"/>
    </row>
    <row r="92" spans="1:10" ht="30" x14ac:dyDescent="0.2">
      <c r="A92" s="390">
        <v>26</v>
      </c>
      <c r="B92" s="1031" t="s">
        <v>568</v>
      </c>
      <c r="C92" s="437" t="s">
        <v>569</v>
      </c>
      <c r="D92" s="488" t="s">
        <v>37</v>
      </c>
      <c r="E92" s="586">
        <f>IF(D92='Response Guidelines'!$D$80,'Response Guidelines'!$C$80, IF(D92='Response Guidelines'!$D$81,'Response Guidelines'!$C$81,IF(D92='Response Guidelines'!$D$82,'Response Guidelines'!$C$82,IF(D92='Response Guidelines'!$D$83,'Response Guidelines'!$C$83,IF(D92='Response Guidelines'!$D$84,'Response Guidelines'!$C$84,IF(D92='Response Guidelines'!$D$85,'Response Guidelines'!$C$85,IF(D92='Response Guidelines'!$D$86,'Response Guidelines'!$C$86,"No Rating")))))))</f>
        <v>6</v>
      </c>
      <c r="F92" s="1041">
        <f>(E92/$F$103)/_xlfn.XLOOKUP('Scoring Summary'!$D$23,'Response Guidelines'!$D$91:$D$190,'Response Guidelines'!$C$91:$C$190,"",0,1)</f>
        <v>4.8387096774193547E-2</v>
      </c>
      <c r="G92" s="272" t="s">
        <v>570</v>
      </c>
      <c r="H92" s="164">
        <f>F92</f>
        <v>4.8387096774193547E-2</v>
      </c>
      <c r="I92" s="270"/>
      <c r="J92" s="1008"/>
    </row>
    <row r="93" spans="1:10" ht="20" x14ac:dyDescent="0.2">
      <c r="A93" s="389"/>
      <c r="B93" s="1031"/>
      <c r="C93" s="437"/>
      <c r="D93" s="490"/>
      <c r="E93" s="587"/>
      <c r="F93" s="1042"/>
      <c r="G93" s="284" t="s">
        <v>571</v>
      </c>
      <c r="H93" s="111">
        <v>0</v>
      </c>
      <c r="I93" s="269"/>
      <c r="J93" s="1008"/>
    </row>
    <row r="94" spans="1:10" ht="30" x14ac:dyDescent="0.2">
      <c r="A94" s="390">
        <v>27</v>
      </c>
      <c r="B94" s="652" t="s">
        <v>572</v>
      </c>
      <c r="C94" s="1043" t="s">
        <v>573</v>
      </c>
      <c r="D94" s="569" t="s">
        <v>33</v>
      </c>
      <c r="E94" s="447">
        <f>IF(D94='Response Guidelines'!$D$80,'Response Guidelines'!$C$80, IF(D94='Response Guidelines'!$D$81,'Response Guidelines'!$C$81,IF(D94='Response Guidelines'!$D$82,'Response Guidelines'!$C$82,IF(D94='Response Guidelines'!$D$83,'Response Guidelines'!$C$83,IF(D94='Response Guidelines'!$D$84,'Response Guidelines'!$C$84,IF(D94='Response Guidelines'!$D$85,'Response Guidelines'!$C$85,IF(D94='Response Guidelines'!$D$86,'Response Guidelines'!$C$86,"No Rating")))))))</f>
        <v>3</v>
      </c>
      <c r="F94" s="1034">
        <f>(E94/$F$103)/_xlfn.XLOOKUP('Scoring Summary'!$D$23,'Response Guidelines'!$D$91:$D$190,'Response Guidelines'!$C$91:$C$190,"",0,1)</f>
        <v>2.4193548387096774E-2</v>
      </c>
      <c r="G94" s="283" t="s">
        <v>481</v>
      </c>
      <c r="H94" s="243">
        <f>F94</f>
        <v>2.4193548387096774E-2</v>
      </c>
      <c r="I94" s="267"/>
      <c r="J94" s="1039"/>
    </row>
    <row r="95" spans="1:10" ht="20" x14ac:dyDescent="0.2">
      <c r="A95" s="389"/>
      <c r="B95" s="949"/>
      <c r="C95" s="1044"/>
      <c r="D95" s="570"/>
      <c r="E95" s="449"/>
      <c r="F95" s="1035"/>
      <c r="G95" s="271" t="s">
        <v>486</v>
      </c>
      <c r="H95" s="236">
        <v>0</v>
      </c>
      <c r="I95" s="268"/>
      <c r="J95" s="1040"/>
    </row>
    <row r="96" spans="1:10" ht="20" x14ac:dyDescent="0.2">
      <c r="A96" s="1032">
        <v>28</v>
      </c>
      <c r="B96" s="1031" t="s">
        <v>574</v>
      </c>
      <c r="C96" s="437" t="s">
        <v>575</v>
      </c>
      <c r="D96" s="488" t="s">
        <v>33</v>
      </c>
      <c r="E96" s="586">
        <f>IF(D96='Response Guidelines'!$D$80,'Response Guidelines'!$C$80, IF(D96='Response Guidelines'!$D$81,'Response Guidelines'!$C$81,IF(D96='Response Guidelines'!$D$82,'Response Guidelines'!$C$82,IF(D96='Response Guidelines'!$D$83,'Response Guidelines'!$C$83,IF(D96='Response Guidelines'!$D$84,'Response Guidelines'!$C$84,IF(D96='Response Guidelines'!$D$85,'Response Guidelines'!$C$85,IF(D96='Response Guidelines'!$D$86,'Response Guidelines'!$C$86,"No Rating")))))))</f>
        <v>3</v>
      </c>
      <c r="F96" s="1041">
        <f>(E96/$F$103)/_xlfn.XLOOKUP('Scoring Summary'!$D$23,'Response Guidelines'!$D$91:$D$190,'Response Guidelines'!$C$91:$C$190,"",0,1)</f>
        <v>2.4193548387096774E-2</v>
      </c>
      <c r="G96" s="272" t="s">
        <v>486</v>
      </c>
      <c r="H96" s="164">
        <f>F96</f>
        <v>2.4193548387096774E-2</v>
      </c>
      <c r="I96" s="270"/>
      <c r="J96" s="1039"/>
    </row>
    <row r="97" spans="1:11" ht="20" x14ac:dyDescent="0.2">
      <c r="A97" s="1045"/>
      <c r="B97" s="1031"/>
      <c r="C97" s="437"/>
      <c r="D97" s="490"/>
      <c r="E97" s="587"/>
      <c r="F97" s="1042"/>
      <c r="G97" s="284" t="s">
        <v>576</v>
      </c>
      <c r="H97" s="111">
        <v>0</v>
      </c>
      <c r="I97" s="269"/>
      <c r="J97" s="1040"/>
    </row>
    <row r="98" spans="1:11" ht="59.25" customHeight="1" x14ac:dyDescent="0.2">
      <c r="A98" s="1032">
        <v>29</v>
      </c>
      <c r="B98" s="974" t="s">
        <v>577</v>
      </c>
      <c r="C98" s="972" t="s">
        <v>578</v>
      </c>
      <c r="D98" s="569" t="s">
        <v>33</v>
      </c>
      <c r="E98" s="447">
        <f>IF(D98='Response Guidelines'!$D$80,'Response Guidelines'!$C$80, IF(D98='Response Guidelines'!$D$81,'Response Guidelines'!$C$81,IF(D98='Response Guidelines'!$D$82,'Response Guidelines'!$C$82,IF(D98='Response Guidelines'!$D$83,'Response Guidelines'!$C$83,IF(D98='Response Guidelines'!$D$84,'Response Guidelines'!$C$84,IF(D98='Response Guidelines'!$D$85,'Response Guidelines'!$C$85,IF(D98='Response Guidelines'!$D$86,'Response Guidelines'!$C$86,"No Rating")))))))</f>
        <v>3</v>
      </c>
      <c r="F98" s="1034">
        <f>(E98/$F$103)/_xlfn.XLOOKUP('Scoring Summary'!$D$23,'Response Guidelines'!$D$91:$D$190,'Response Guidelines'!$C$91:$C$190,"",0,1)</f>
        <v>2.4193548387096774E-2</v>
      </c>
      <c r="G98" s="283" t="s">
        <v>579</v>
      </c>
      <c r="H98" s="243"/>
      <c r="I98" s="267"/>
      <c r="J98" s="1039"/>
    </row>
    <row r="99" spans="1:11" ht="20" x14ac:dyDescent="0.2">
      <c r="A99" s="1033"/>
      <c r="B99" s="1031"/>
      <c r="C99" s="437"/>
      <c r="D99" s="570"/>
      <c r="E99" s="449"/>
      <c r="F99" s="1035"/>
      <c r="G99" s="284" t="s">
        <v>580</v>
      </c>
      <c r="H99" s="111"/>
      <c r="I99" s="269"/>
      <c r="J99" s="1008"/>
    </row>
    <row r="100" spans="1:11" ht="50" x14ac:dyDescent="0.2">
      <c r="A100" s="1032">
        <v>30</v>
      </c>
      <c r="B100" s="1046" t="s">
        <v>581</v>
      </c>
      <c r="C100" s="1048" t="s">
        <v>582</v>
      </c>
      <c r="D100" s="498" t="s">
        <v>33</v>
      </c>
      <c r="E100" s="447">
        <f>IF(D100='Response Guidelines'!$D$80,'Response Guidelines'!$C$80, IF(D100='Response Guidelines'!$D$81,'Response Guidelines'!$C$81,IF(D100='Response Guidelines'!$D$82,'Response Guidelines'!$C$82,IF(D100='Response Guidelines'!$D$83,'Response Guidelines'!$C$83,IF(D100='Response Guidelines'!$D$84,'Response Guidelines'!$C$84,IF(D100='Response Guidelines'!$D$85,'Response Guidelines'!$C$85,IF(D100='Response Guidelines'!$D$86,'Response Guidelines'!$C$86,"No Rating")))))))</f>
        <v>3</v>
      </c>
      <c r="F100" s="1034">
        <f>(E100/$F$103)/_xlfn.XLOOKUP('Scoring Summary'!$D$23,'Response Guidelines'!$D$91:$D$190,'Response Guidelines'!$C$91:$C$190,"",0,1)</f>
        <v>2.4193548387096774E-2</v>
      </c>
      <c r="G100" s="264" t="s">
        <v>583</v>
      </c>
      <c r="H100" s="110"/>
      <c r="I100" s="281"/>
      <c r="J100" s="282"/>
    </row>
    <row r="101" spans="1:11" ht="40" x14ac:dyDescent="0.2">
      <c r="A101" s="1045"/>
      <c r="B101" s="1047"/>
      <c r="C101" s="1049"/>
      <c r="D101" s="500"/>
      <c r="E101" s="449"/>
      <c r="F101" s="1035"/>
      <c r="G101" s="264" t="s">
        <v>506</v>
      </c>
      <c r="H101" s="110"/>
      <c r="I101" s="281"/>
      <c r="J101" s="282"/>
    </row>
    <row r="102" spans="1:11" x14ac:dyDescent="0.2">
      <c r="B102" s="165"/>
      <c r="C102" s="166"/>
      <c r="D102" s="167"/>
      <c r="E102" s="168"/>
      <c r="F102" s="169"/>
      <c r="G102" s="147"/>
      <c r="H102" s="169"/>
      <c r="I102" s="166"/>
      <c r="J102" s="29"/>
      <c r="K102" s="172">
        <f>SUM(I17:I89)</f>
        <v>0</v>
      </c>
    </row>
    <row r="103" spans="1:11" x14ac:dyDescent="0.2">
      <c r="B103" s="122"/>
      <c r="C103" s="34" t="s">
        <v>43</v>
      </c>
      <c r="D103" s="34"/>
      <c r="E103" s="34"/>
      <c r="F103" s="33">
        <f>SUM(E17:E101)</f>
        <v>124</v>
      </c>
      <c r="G103" s="32">
        <f>SUM(F17:F101)</f>
        <v>0.99999999999999956</v>
      </c>
      <c r="H103" s="302" t="s">
        <v>44</v>
      </c>
      <c r="I103" s="303"/>
      <c r="J103" s="121"/>
    </row>
    <row r="104" spans="1:11" x14ac:dyDescent="0.2">
      <c r="B104" s="19"/>
      <c r="F104" s="18"/>
      <c r="G104" s="17"/>
      <c r="H104" s="16"/>
      <c r="I104" s="15"/>
      <c r="J104" s="15"/>
    </row>
    <row r="105" spans="1:11" x14ac:dyDescent="0.2">
      <c r="B105" s="19"/>
      <c r="F105" s="18"/>
      <c r="G105" s="17"/>
      <c r="H105" s="16"/>
      <c r="I105" s="15"/>
      <c r="J105" s="15"/>
    </row>
    <row r="106" spans="1:11" x14ac:dyDescent="0.2">
      <c r="B106" s="19"/>
      <c r="F106" s="18"/>
      <c r="G106" s="17"/>
      <c r="H106" s="16"/>
      <c r="I106" s="15"/>
      <c r="J106" s="15"/>
    </row>
    <row r="107" spans="1:11" x14ac:dyDescent="0.2">
      <c r="B107" s="19"/>
      <c r="F107" s="18"/>
      <c r="G107" s="17"/>
      <c r="H107" s="16"/>
      <c r="I107" s="15"/>
      <c r="J107" s="15"/>
    </row>
  </sheetData>
  <mergeCells count="198">
    <mergeCell ref="A100:A101"/>
    <mergeCell ref="D100:D101"/>
    <mergeCell ref="E100:E101"/>
    <mergeCell ref="F100:F101"/>
    <mergeCell ref="B100:B101"/>
    <mergeCell ref="C100:C101"/>
    <mergeCell ref="J92:J93"/>
    <mergeCell ref="J94:J95"/>
    <mergeCell ref="D96:D97"/>
    <mergeCell ref="E96:E97"/>
    <mergeCell ref="F96:F97"/>
    <mergeCell ref="A96:A97"/>
    <mergeCell ref="B96:B97"/>
    <mergeCell ref="C96:C97"/>
    <mergeCell ref="A98:A99"/>
    <mergeCell ref="D98:D99"/>
    <mergeCell ref="E98:E99"/>
    <mergeCell ref="F98:F99"/>
    <mergeCell ref="B98:B99"/>
    <mergeCell ref="C98:C99"/>
    <mergeCell ref="J96:J97"/>
    <mergeCell ref="J98:J99"/>
    <mergeCell ref="A90:A91"/>
    <mergeCell ref="D92:D93"/>
    <mergeCell ref="E92:E93"/>
    <mergeCell ref="F92:F93"/>
    <mergeCell ref="B92:B93"/>
    <mergeCell ref="C92:C93"/>
    <mergeCell ref="A92:A93"/>
    <mergeCell ref="A94:A95"/>
    <mergeCell ref="D94:D95"/>
    <mergeCell ref="E94:E95"/>
    <mergeCell ref="F94:F95"/>
    <mergeCell ref="B94:B95"/>
    <mergeCell ref="C94:C95"/>
    <mergeCell ref="J88:J89"/>
    <mergeCell ref="D90:D91"/>
    <mergeCell ref="E90:E91"/>
    <mergeCell ref="F90:F91"/>
    <mergeCell ref="B90:B91"/>
    <mergeCell ref="C90:C91"/>
    <mergeCell ref="I86:I87"/>
    <mergeCell ref="I88:I89"/>
    <mergeCell ref="I90:I91"/>
    <mergeCell ref="J90:J91"/>
    <mergeCell ref="J86:J87"/>
    <mergeCell ref="A76:A77"/>
    <mergeCell ref="A78:A79"/>
    <mergeCell ref="A80:A81"/>
    <mergeCell ref="A82:A85"/>
    <mergeCell ref="A86:A87"/>
    <mergeCell ref="D88:D89"/>
    <mergeCell ref="E88:E89"/>
    <mergeCell ref="F88:F89"/>
    <mergeCell ref="B88:B89"/>
    <mergeCell ref="C88:C89"/>
    <mergeCell ref="A88:A89"/>
    <mergeCell ref="A58:A64"/>
    <mergeCell ref="A65:A66"/>
    <mergeCell ref="B29:B30"/>
    <mergeCell ref="C29:C30"/>
    <mergeCell ref="A29:A30"/>
    <mergeCell ref="A67:A71"/>
    <mergeCell ref="A72:A73"/>
    <mergeCell ref="A31:A32"/>
    <mergeCell ref="A74:A75"/>
    <mergeCell ref="J33:J47"/>
    <mergeCell ref="J48:J57"/>
    <mergeCell ref="I31:I32"/>
    <mergeCell ref="J31:J32"/>
    <mergeCell ref="I33:I47"/>
    <mergeCell ref="I48:I57"/>
    <mergeCell ref="C33:C47"/>
    <mergeCell ref="B33:B47"/>
    <mergeCell ref="A27:A28"/>
    <mergeCell ref="B27:B28"/>
    <mergeCell ref="C27:C28"/>
    <mergeCell ref="A48:A57"/>
    <mergeCell ref="A23:A26"/>
    <mergeCell ref="B23:B26"/>
    <mergeCell ref="C23:C26"/>
    <mergeCell ref="J82:J85"/>
    <mergeCell ref="D29:D30"/>
    <mergeCell ref="E29:E30"/>
    <mergeCell ref="F29:F30"/>
    <mergeCell ref="I29:I30"/>
    <mergeCell ref="J29:J30"/>
    <mergeCell ref="J65:J66"/>
    <mergeCell ref="I58:I62"/>
    <mergeCell ref="J58:J62"/>
    <mergeCell ref="B65:B66"/>
    <mergeCell ref="C65:C66"/>
    <mergeCell ref="D33:D47"/>
    <mergeCell ref="E33:E47"/>
    <mergeCell ref="F33:F47"/>
    <mergeCell ref="A33:A47"/>
    <mergeCell ref="C31:C32"/>
    <mergeCell ref="B67:B71"/>
    <mergeCell ref="C67:C71"/>
    <mergeCell ref="F65:F66"/>
    <mergeCell ref="D65:D66"/>
    <mergeCell ref="E65:E66"/>
    <mergeCell ref="A21:A22"/>
    <mergeCell ref="B21:B22"/>
    <mergeCell ref="C21:C22"/>
    <mergeCell ref="A15:A16"/>
    <mergeCell ref="B15:C15"/>
    <mergeCell ref="A17:A20"/>
    <mergeCell ref="B17:B20"/>
    <mergeCell ref="C17:C20"/>
    <mergeCell ref="F21:F22"/>
    <mergeCell ref="D21:D22"/>
    <mergeCell ref="E21:E22"/>
    <mergeCell ref="D17:D20"/>
    <mergeCell ref="E17:E20"/>
    <mergeCell ref="F17:F20"/>
    <mergeCell ref="J17:J20"/>
    <mergeCell ref="I27:I28"/>
    <mergeCell ref="J27:J28"/>
    <mergeCell ref="D23:D26"/>
    <mergeCell ref="E23:E26"/>
    <mergeCell ref="F23:F26"/>
    <mergeCell ref="I23:I26"/>
    <mergeCell ref="J23:J26"/>
    <mergeCell ref="F27:F28"/>
    <mergeCell ref="D27:D28"/>
    <mergeCell ref="E27:E28"/>
    <mergeCell ref="I21:I22"/>
    <mergeCell ref="J21:J22"/>
    <mergeCell ref="J80:J81"/>
    <mergeCell ref="D78:D79"/>
    <mergeCell ref="E78:E79"/>
    <mergeCell ref="F78:F79"/>
    <mergeCell ref="I78:I79"/>
    <mergeCell ref="J78:J79"/>
    <mergeCell ref="F67:F71"/>
    <mergeCell ref="I67:I71"/>
    <mergeCell ref="J67:J71"/>
    <mergeCell ref="I76:I77"/>
    <mergeCell ref="J76:J77"/>
    <mergeCell ref="D74:D75"/>
    <mergeCell ref="E74:E75"/>
    <mergeCell ref="F74:F75"/>
    <mergeCell ref="I74:I75"/>
    <mergeCell ref="J74:J75"/>
    <mergeCell ref="E76:E77"/>
    <mergeCell ref="E67:E71"/>
    <mergeCell ref="I72:I73"/>
    <mergeCell ref="J72:J73"/>
    <mergeCell ref="D67:D71"/>
    <mergeCell ref="F72:F73"/>
    <mergeCell ref="D72:D73"/>
    <mergeCell ref="E72:E73"/>
    <mergeCell ref="E2:I4"/>
    <mergeCell ref="F80:F81"/>
    <mergeCell ref="D80:D81"/>
    <mergeCell ref="E80:E81"/>
    <mergeCell ref="I80:I81"/>
    <mergeCell ref="B76:B77"/>
    <mergeCell ref="C76:C77"/>
    <mergeCell ref="B74:B75"/>
    <mergeCell ref="C74:C75"/>
    <mergeCell ref="B80:B81"/>
    <mergeCell ref="C80:C81"/>
    <mergeCell ref="B78:B79"/>
    <mergeCell ref="C78:C79"/>
    <mergeCell ref="I65:I66"/>
    <mergeCell ref="I17:I20"/>
    <mergeCell ref="C48:C57"/>
    <mergeCell ref="B48:B57"/>
    <mergeCell ref="D48:D57"/>
    <mergeCell ref="E48:E57"/>
    <mergeCell ref="F48:F57"/>
    <mergeCell ref="D31:D32"/>
    <mergeCell ref="E31:E32"/>
    <mergeCell ref="B31:B32"/>
    <mergeCell ref="F31:F32"/>
    <mergeCell ref="H103:I103"/>
    <mergeCell ref="D82:D85"/>
    <mergeCell ref="E82:E85"/>
    <mergeCell ref="F82:F85"/>
    <mergeCell ref="I82:I85"/>
    <mergeCell ref="B82:B85"/>
    <mergeCell ref="C82:C85"/>
    <mergeCell ref="E58:E64"/>
    <mergeCell ref="F58:F64"/>
    <mergeCell ref="F86:F87"/>
    <mergeCell ref="E86:E87"/>
    <mergeCell ref="D86:D87"/>
    <mergeCell ref="C86:C87"/>
    <mergeCell ref="B86:B87"/>
    <mergeCell ref="F76:F77"/>
    <mergeCell ref="D76:D77"/>
    <mergeCell ref="B72:B73"/>
    <mergeCell ref="C72:C73"/>
    <mergeCell ref="B58:B64"/>
    <mergeCell ref="C58:C64"/>
    <mergeCell ref="D58:D64"/>
  </mergeCells>
  <pageMargins left="0.25" right="0.25" top="0.75" bottom="0.75" header="0.3" footer="0.3"/>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600F64-A0B4-4BE5-A4A8-4FD1FDABDA61}">
          <x14:formula1>
            <xm:f>'Response Guidelines'!$D$80:$D$86</xm:f>
          </x14:formula1>
          <xm:sqref>D17 D58 D65:D67 D72:D82 D21:D23 D86 D27:D31 D33 D48 D88 D90 D92 D94 D96 D98 D100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W19" sqref="W19"/>
    </sheetView>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29"/>
  <sheetViews>
    <sheetView workbookViewId="0">
      <selection activeCell="B3" sqref="B3"/>
    </sheetView>
  </sheetViews>
  <sheetFormatPr defaultRowHeight="14.5" x14ac:dyDescent="0.35"/>
  <cols>
    <col min="2" max="2" width="14.54296875" customWidth="1"/>
    <col min="3" max="3" width="79.1796875" customWidth="1"/>
  </cols>
  <sheetData>
    <row r="1" spans="2:3" ht="15" thickBot="1" x14ac:dyDescent="0.4"/>
    <row r="2" spans="2:3" ht="16" thickBot="1" x14ac:dyDescent="0.4">
      <c r="B2" s="1050" t="s">
        <v>584</v>
      </c>
      <c r="C2" s="1051"/>
    </row>
    <row r="3" spans="2:3" x14ac:dyDescent="0.35">
      <c r="B3" s="92"/>
      <c r="C3" s="93"/>
    </row>
    <row r="4" spans="2:3" x14ac:dyDescent="0.35">
      <c r="B4" s="88"/>
      <c r="C4" s="89"/>
    </row>
    <row r="5" spans="2:3" x14ac:dyDescent="0.35">
      <c r="B5" s="88"/>
      <c r="C5" s="89"/>
    </row>
    <row r="6" spans="2:3" x14ac:dyDescent="0.35">
      <c r="B6" s="88"/>
      <c r="C6" s="89"/>
    </row>
    <row r="7" spans="2:3" x14ac:dyDescent="0.35">
      <c r="B7" s="88"/>
      <c r="C7" s="89"/>
    </row>
    <row r="8" spans="2:3" x14ac:dyDescent="0.35">
      <c r="B8" s="88"/>
      <c r="C8" s="89"/>
    </row>
    <row r="9" spans="2:3" x14ac:dyDescent="0.35">
      <c r="B9" s="88"/>
      <c r="C9" s="89"/>
    </row>
    <row r="10" spans="2:3" x14ac:dyDescent="0.35">
      <c r="B10" s="88"/>
      <c r="C10" s="89"/>
    </row>
    <row r="11" spans="2:3" x14ac:dyDescent="0.35">
      <c r="B11" s="88"/>
      <c r="C11" s="89"/>
    </row>
    <row r="12" spans="2:3" x14ac:dyDescent="0.35">
      <c r="B12" s="88"/>
      <c r="C12" s="89"/>
    </row>
    <row r="13" spans="2:3" x14ac:dyDescent="0.35">
      <c r="B13" s="88"/>
      <c r="C13" s="89"/>
    </row>
    <row r="14" spans="2:3" ht="15" thickBot="1" x14ac:dyDescent="0.4">
      <c r="B14" s="90"/>
      <c r="C14" s="91"/>
    </row>
    <row r="16" spans="2:3" ht="15" thickBot="1" x14ac:dyDescent="0.4"/>
    <row r="17" spans="2:3" ht="16" thickBot="1" x14ac:dyDescent="0.4">
      <c r="B17" s="1050" t="s">
        <v>585</v>
      </c>
      <c r="C17" s="1051"/>
    </row>
    <row r="18" spans="2:3" x14ac:dyDescent="0.35">
      <c r="B18" s="92"/>
      <c r="C18" s="93"/>
    </row>
    <row r="19" spans="2:3" x14ac:dyDescent="0.35">
      <c r="B19" s="88"/>
      <c r="C19" s="89"/>
    </row>
    <row r="20" spans="2:3" x14ac:dyDescent="0.35">
      <c r="B20" s="88"/>
      <c r="C20" s="89"/>
    </row>
    <row r="21" spans="2:3" x14ac:dyDescent="0.35">
      <c r="B21" s="88"/>
      <c r="C21" s="89"/>
    </row>
    <row r="22" spans="2:3" x14ac:dyDescent="0.35">
      <c r="B22" s="88"/>
      <c r="C22" s="89"/>
    </row>
    <row r="23" spans="2:3" x14ac:dyDescent="0.35">
      <c r="B23" s="88"/>
      <c r="C23" s="89"/>
    </row>
    <row r="24" spans="2:3" x14ac:dyDescent="0.35">
      <c r="B24" s="88"/>
      <c r="C24" s="89"/>
    </row>
    <row r="25" spans="2:3" x14ac:dyDescent="0.35">
      <c r="B25" s="88"/>
      <c r="C25" s="89"/>
    </row>
    <row r="26" spans="2:3" x14ac:dyDescent="0.35">
      <c r="B26" s="88"/>
      <c r="C26" s="89"/>
    </row>
    <row r="27" spans="2:3" x14ac:dyDescent="0.35">
      <c r="B27" s="88"/>
      <c r="C27" s="89"/>
    </row>
    <row r="28" spans="2:3" x14ac:dyDescent="0.35">
      <c r="B28" s="88"/>
      <c r="C28" s="89"/>
    </row>
    <row r="29" spans="2:3" ht="15" thickBot="1" x14ac:dyDescent="0.4">
      <c r="B29" s="90"/>
      <c r="C29" s="91"/>
    </row>
  </sheetData>
  <mergeCells count="2">
    <mergeCell ref="B2:C2"/>
    <mergeCell ref="B17: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90"/>
  <sheetViews>
    <sheetView topLeftCell="C67" zoomScale="80" zoomScaleNormal="150" workbookViewId="0">
      <selection activeCell="C13" sqref="C13:K13"/>
    </sheetView>
  </sheetViews>
  <sheetFormatPr defaultColWidth="9.1796875" defaultRowHeight="14" x14ac:dyDescent="0.35"/>
  <cols>
    <col min="1" max="1" width="1.54296875" style="1" customWidth="1"/>
    <col min="2" max="2" width="3.54296875" style="1" customWidth="1"/>
    <col min="3" max="3" width="23.54296875" style="2" customWidth="1"/>
    <col min="4" max="4" width="37.54296875" style="2" customWidth="1"/>
    <col min="5" max="5" width="11.453125" style="1" customWidth="1"/>
    <col min="6" max="16384" width="9.1796875" style="1"/>
  </cols>
  <sheetData>
    <row r="1" spans="1:11" x14ac:dyDescent="0.35">
      <c r="A1" s="77"/>
    </row>
    <row r="2" spans="1:11" ht="21" customHeight="1" x14ac:dyDescent="0.35">
      <c r="A2" s="77"/>
      <c r="B2" s="348" t="s">
        <v>47</v>
      </c>
      <c r="C2" s="348"/>
      <c r="D2" s="348"/>
      <c r="E2" s="348"/>
      <c r="F2" s="348"/>
      <c r="G2" s="348"/>
      <c r="H2" s="348"/>
      <c r="I2" s="348"/>
      <c r="J2" s="348"/>
      <c r="K2" s="348"/>
    </row>
    <row r="3" spans="1:11" ht="14.5" x14ac:dyDescent="0.35">
      <c r="A3" s="77"/>
      <c r="B3" s="2"/>
      <c r="C3" s="349"/>
      <c r="D3" s="350"/>
    </row>
    <row r="4" spans="1:11" ht="7.4" customHeight="1" x14ac:dyDescent="0.35">
      <c r="A4" s="77"/>
      <c r="B4" s="349"/>
      <c r="C4" s="349"/>
    </row>
    <row r="5" spans="1:11" s="9" customFormat="1" ht="24" customHeight="1" x14ac:dyDescent="0.35">
      <c r="A5" s="78"/>
      <c r="B5" s="351" t="s">
        <v>48</v>
      </c>
      <c r="C5" s="352"/>
      <c r="D5" s="352"/>
      <c r="E5" s="352"/>
      <c r="F5" s="352"/>
      <c r="G5" s="352"/>
      <c r="H5" s="352"/>
      <c r="I5" s="352"/>
      <c r="J5" s="352"/>
      <c r="K5" s="352"/>
    </row>
    <row r="6" spans="1:11" ht="8.25" customHeight="1" x14ac:dyDescent="0.35">
      <c r="A6" s="77"/>
      <c r="B6" s="5"/>
      <c r="E6" s="4"/>
    </row>
    <row r="7" spans="1:11" ht="14.15" customHeight="1" x14ac:dyDescent="0.35">
      <c r="A7" s="77"/>
      <c r="B7" s="79" t="s">
        <v>49</v>
      </c>
      <c r="C7" s="353" t="s">
        <v>50</v>
      </c>
      <c r="D7" s="353"/>
      <c r="E7" s="353"/>
      <c r="F7" s="353"/>
      <c r="G7" s="353"/>
      <c r="H7" s="353"/>
      <c r="I7" s="353"/>
      <c r="J7" s="353"/>
      <c r="K7" s="353"/>
    </row>
    <row r="8" spans="1:11" ht="14.15" customHeight="1" x14ac:dyDescent="0.35">
      <c r="A8" s="77"/>
      <c r="B8" s="96"/>
      <c r="C8" s="353" t="s">
        <v>51</v>
      </c>
      <c r="D8" s="353"/>
      <c r="E8" s="353"/>
      <c r="F8" s="353"/>
      <c r="G8" s="353"/>
      <c r="H8" s="353"/>
      <c r="I8" s="353"/>
      <c r="J8" s="353"/>
      <c r="K8" s="353"/>
    </row>
    <row r="9" spans="1:11" ht="15.75" customHeight="1" x14ac:dyDescent="0.35">
      <c r="A9" s="77"/>
      <c r="B9" s="80"/>
      <c r="C9" s="346" t="s">
        <v>52</v>
      </c>
      <c r="D9" s="347"/>
      <c r="E9" s="347"/>
      <c r="F9" s="347"/>
      <c r="G9" s="347"/>
      <c r="H9" s="347"/>
      <c r="I9" s="347"/>
      <c r="J9" s="347"/>
      <c r="K9" s="347"/>
    </row>
    <row r="10" spans="1:11" ht="15.75" customHeight="1" x14ac:dyDescent="0.35">
      <c r="A10" s="77"/>
      <c r="B10" s="81"/>
      <c r="C10" s="346" t="s">
        <v>53</v>
      </c>
      <c r="D10" s="347"/>
      <c r="E10" s="347"/>
      <c r="F10" s="347"/>
      <c r="G10" s="347"/>
      <c r="H10" s="347"/>
      <c r="I10" s="347"/>
      <c r="J10" s="347"/>
      <c r="K10" s="347"/>
    </row>
    <row r="11" spans="1:11" ht="15.75" customHeight="1" x14ac:dyDescent="0.35">
      <c r="A11" s="77"/>
      <c r="B11" s="82"/>
      <c r="C11" s="346" t="s">
        <v>54</v>
      </c>
      <c r="D11" s="347"/>
      <c r="E11" s="347"/>
      <c r="F11" s="347"/>
      <c r="G11" s="347"/>
      <c r="H11" s="347"/>
      <c r="I11" s="347"/>
      <c r="J11" s="347"/>
      <c r="K11" s="347"/>
    </row>
    <row r="12" spans="1:11" ht="15.75" customHeight="1" x14ac:dyDescent="0.35">
      <c r="A12" s="77"/>
      <c r="B12" s="83"/>
      <c r="C12" s="346" t="s">
        <v>55</v>
      </c>
      <c r="D12" s="347"/>
      <c r="E12" s="347"/>
      <c r="F12" s="347"/>
      <c r="G12" s="347"/>
      <c r="H12" s="347"/>
      <c r="I12" s="347"/>
      <c r="J12" s="347"/>
      <c r="K12" s="347"/>
    </row>
    <row r="13" spans="1:11" ht="15.75" customHeight="1" x14ac:dyDescent="0.35">
      <c r="A13" s="77"/>
      <c r="B13" s="95"/>
      <c r="C13" s="346" t="s">
        <v>56</v>
      </c>
      <c r="D13" s="347"/>
      <c r="E13" s="347"/>
      <c r="F13" s="347"/>
      <c r="G13" s="347"/>
      <c r="H13" s="347"/>
      <c r="I13" s="347"/>
      <c r="J13" s="347"/>
      <c r="K13" s="347"/>
    </row>
    <row r="14" spans="1:11" ht="15.75" customHeight="1" x14ac:dyDescent="0.35">
      <c r="A14" s="77"/>
      <c r="B14" s="84"/>
      <c r="C14" s="346" t="s">
        <v>57</v>
      </c>
      <c r="D14" s="347"/>
      <c r="E14" s="347"/>
      <c r="F14" s="347"/>
      <c r="G14" s="347"/>
      <c r="H14" s="347"/>
      <c r="I14" s="347"/>
      <c r="J14" s="347"/>
      <c r="K14" s="347"/>
    </row>
    <row r="15" spans="1:11" ht="15.75" customHeight="1" x14ac:dyDescent="0.35">
      <c r="A15" s="77"/>
      <c r="B15" s="85"/>
      <c r="C15" s="346" t="s">
        <v>58</v>
      </c>
      <c r="D15" s="347"/>
      <c r="E15" s="347"/>
      <c r="F15" s="347"/>
      <c r="G15" s="347"/>
      <c r="H15" s="347"/>
      <c r="I15" s="347"/>
      <c r="J15" s="347"/>
      <c r="K15" s="347"/>
    </row>
    <row r="16" spans="1:11" ht="7.5" customHeight="1" x14ac:dyDescent="0.35">
      <c r="A16" s="77"/>
      <c r="B16" s="349"/>
      <c r="C16" s="349"/>
    </row>
    <row r="17" spans="1:18" ht="202.4" customHeight="1" x14ac:dyDescent="0.35">
      <c r="A17" s="77"/>
      <c r="B17" s="79" t="s">
        <v>49</v>
      </c>
      <c r="C17" s="349" t="s">
        <v>59</v>
      </c>
      <c r="D17" s="349"/>
      <c r="E17" s="349"/>
      <c r="F17" s="349"/>
      <c r="G17" s="349"/>
      <c r="H17" s="349"/>
      <c r="I17" s="349"/>
      <c r="J17" s="349"/>
      <c r="K17" s="349"/>
    </row>
    <row r="18" spans="1:18" ht="47.15" customHeight="1" x14ac:dyDescent="0.35">
      <c r="A18" s="77"/>
      <c r="B18" s="349"/>
      <c r="C18" s="349"/>
    </row>
    <row r="19" spans="1:18" ht="7.5" customHeight="1" x14ac:dyDescent="0.35">
      <c r="A19" s="77"/>
      <c r="B19" s="349"/>
      <c r="C19" s="349"/>
    </row>
    <row r="20" spans="1:18" s="7" customFormat="1" x14ac:dyDescent="0.35">
      <c r="A20" s="77"/>
      <c r="B20" s="2"/>
      <c r="C20" s="2"/>
      <c r="D20" s="2"/>
      <c r="E20" s="1"/>
      <c r="F20" s="1"/>
      <c r="G20" s="1"/>
      <c r="H20" s="1"/>
      <c r="I20" s="1"/>
      <c r="J20" s="1"/>
      <c r="K20" s="1"/>
      <c r="L20" s="1"/>
      <c r="M20" s="1"/>
      <c r="N20" s="1"/>
      <c r="O20" s="1"/>
      <c r="P20" s="1"/>
      <c r="Q20" s="1"/>
      <c r="R20" s="1"/>
    </row>
    <row r="21" spans="1:18" s="8" customFormat="1" ht="24" customHeight="1" x14ac:dyDescent="0.35">
      <c r="A21" s="78"/>
      <c r="B21" s="351" t="s">
        <v>60</v>
      </c>
      <c r="C21" s="352"/>
      <c r="D21" s="352"/>
      <c r="E21" s="352"/>
      <c r="F21" s="352"/>
      <c r="G21" s="352"/>
      <c r="H21" s="352"/>
      <c r="I21" s="352"/>
      <c r="J21" s="352"/>
      <c r="K21" s="352"/>
      <c r="L21" s="9"/>
      <c r="M21" s="9"/>
      <c r="N21" s="9"/>
      <c r="O21" s="9"/>
      <c r="P21" s="9"/>
      <c r="Q21" s="9"/>
      <c r="R21" s="9"/>
    </row>
    <row r="22" spans="1:18" s="7" customFormat="1" ht="8.25" customHeight="1" x14ac:dyDescent="0.35">
      <c r="A22" s="77"/>
      <c r="B22" s="1"/>
      <c r="C22" s="86"/>
      <c r="D22" s="86"/>
      <c r="E22" s="1"/>
      <c r="F22" s="1"/>
      <c r="G22" s="1"/>
      <c r="H22" s="1"/>
      <c r="I22" s="1"/>
      <c r="J22" s="1"/>
      <c r="K22" s="1"/>
      <c r="L22" s="1"/>
      <c r="M22" s="1"/>
      <c r="N22" s="1"/>
      <c r="O22" s="1"/>
      <c r="P22" s="1"/>
      <c r="Q22" s="1"/>
      <c r="R22" s="1"/>
    </row>
    <row r="23" spans="1:18" s="7" customFormat="1" ht="28.4" customHeight="1" x14ac:dyDescent="0.35">
      <c r="A23" s="77"/>
      <c r="B23" s="87" t="s">
        <v>49</v>
      </c>
      <c r="C23" s="94" t="s">
        <v>61</v>
      </c>
      <c r="D23" s="355" t="s">
        <v>62</v>
      </c>
      <c r="E23" s="355"/>
      <c r="F23" s="355"/>
      <c r="G23" s="355"/>
      <c r="H23" s="355"/>
      <c r="I23" s="355"/>
      <c r="J23" s="355"/>
      <c r="K23" s="355"/>
      <c r="L23" s="1"/>
      <c r="M23" s="1"/>
      <c r="N23" s="1"/>
      <c r="O23" s="1"/>
      <c r="P23" s="1"/>
      <c r="Q23" s="1"/>
      <c r="R23" s="1"/>
    </row>
    <row r="24" spans="1:18" x14ac:dyDescent="0.35">
      <c r="C24" s="86"/>
      <c r="D24" s="86"/>
    </row>
    <row r="70" spans="2:4" s="2" customFormat="1" x14ac:dyDescent="0.35">
      <c r="C70" s="74" t="s">
        <v>63</v>
      </c>
      <c r="D70" s="75"/>
    </row>
    <row r="71" spans="2:4" s="2" customFormat="1" x14ac:dyDescent="0.35">
      <c r="C71" s="75" t="s">
        <v>64</v>
      </c>
      <c r="D71" s="75"/>
    </row>
    <row r="72" spans="2:4" s="2" customFormat="1" x14ac:dyDescent="0.35">
      <c r="C72" s="75" t="s">
        <v>65</v>
      </c>
      <c r="D72" s="75"/>
    </row>
    <row r="73" spans="2:4" x14ac:dyDescent="0.35">
      <c r="C73" s="75" t="s">
        <v>66</v>
      </c>
      <c r="D73" s="75"/>
    </row>
    <row r="74" spans="2:4" x14ac:dyDescent="0.35">
      <c r="C74" s="75"/>
      <c r="D74" s="75"/>
    </row>
    <row r="75" spans="2:4" ht="28" x14ac:dyDescent="0.35">
      <c r="C75" s="75" t="s">
        <v>67</v>
      </c>
      <c r="D75" s="75"/>
    </row>
    <row r="76" spans="2:4" x14ac:dyDescent="0.35">
      <c r="B76" s="354"/>
      <c r="C76" s="75" t="e">
        <f>IF(AND('Scoring Summary'!#REF!="Pass",'Scoring Summary'!#REF!="Pass"),"Pass","")</f>
        <v>#REF!</v>
      </c>
      <c r="D76" s="75"/>
    </row>
    <row r="77" spans="2:4" x14ac:dyDescent="0.35">
      <c r="B77" s="354"/>
      <c r="C77" s="75" t="e">
        <f>IF(OR('Scoring Summary'!#REF!="Fail",'Scoring Summary'!#REF!="Fail"),"Fail","")</f>
        <v>#REF!</v>
      </c>
      <c r="D77" s="75"/>
    </row>
    <row r="78" spans="2:4" x14ac:dyDescent="0.35">
      <c r="C78" s="75"/>
      <c r="D78" s="75"/>
    </row>
    <row r="79" spans="2:4" x14ac:dyDescent="0.35">
      <c r="C79" s="74" t="s">
        <v>68</v>
      </c>
      <c r="D79" s="74"/>
    </row>
    <row r="80" spans="2:4" x14ac:dyDescent="0.35">
      <c r="C80" s="75">
        <v>0</v>
      </c>
      <c r="D80" s="75" t="s">
        <v>69</v>
      </c>
    </row>
    <row r="81" spans="3:8" x14ac:dyDescent="0.35">
      <c r="C81" s="75">
        <v>1</v>
      </c>
      <c r="D81" s="75" t="s">
        <v>70</v>
      </c>
    </row>
    <row r="82" spans="3:8" x14ac:dyDescent="0.35">
      <c r="C82" s="75">
        <v>2</v>
      </c>
      <c r="D82" s="75" t="s">
        <v>71</v>
      </c>
    </row>
    <row r="83" spans="3:8" x14ac:dyDescent="0.35">
      <c r="C83" s="75">
        <v>3</v>
      </c>
      <c r="D83" s="75" t="s">
        <v>33</v>
      </c>
    </row>
    <row r="84" spans="3:8" x14ac:dyDescent="0.35">
      <c r="C84" s="75">
        <v>4</v>
      </c>
      <c r="D84" s="75" t="s">
        <v>72</v>
      </c>
    </row>
    <row r="85" spans="3:8" x14ac:dyDescent="0.35">
      <c r="C85" s="75">
        <v>5</v>
      </c>
      <c r="D85" s="75" t="s">
        <v>73</v>
      </c>
    </row>
    <row r="86" spans="3:8" x14ac:dyDescent="0.35">
      <c r="C86" s="75">
        <v>6</v>
      </c>
      <c r="D86" s="75" t="s">
        <v>37</v>
      </c>
    </row>
    <row r="87" spans="3:8" x14ac:dyDescent="0.35">
      <c r="C87" s="75"/>
      <c r="D87" s="75"/>
    </row>
    <row r="88" spans="3:8" x14ac:dyDescent="0.35">
      <c r="C88" s="75"/>
      <c r="D88" s="75"/>
      <c r="H88" s="6"/>
    </row>
    <row r="89" spans="3:8" ht="28" x14ac:dyDescent="0.35">
      <c r="C89" s="74" t="s">
        <v>74</v>
      </c>
      <c r="D89" s="75"/>
    </row>
    <row r="90" spans="3:8" x14ac:dyDescent="0.35">
      <c r="C90" s="75" t="s">
        <v>75</v>
      </c>
      <c r="D90" s="74" t="s">
        <v>76</v>
      </c>
      <c r="E90" s="4"/>
    </row>
    <row r="91" spans="3:8" x14ac:dyDescent="0.35">
      <c r="C91" s="75">
        <v>1</v>
      </c>
      <c r="D91" s="76">
        <v>1</v>
      </c>
      <c r="E91" s="3"/>
    </row>
    <row r="92" spans="3:8" x14ac:dyDescent="0.35">
      <c r="C92" s="75">
        <v>1.0101010101010102</v>
      </c>
      <c r="D92" s="76">
        <v>0.99</v>
      </c>
      <c r="E92" s="3"/>
    </row>
    <row r="93" spans="3:8" x14ac:dyDescent="0.35">
      <c r="C93" s="75">
        <v>1.0204081632653061</v>
      </c>
      <c r="D93" s="76">
        <v>0.98</v>
      </c>
      <c r="E93" s="3"/>
    </row>
    <row r="94" spans="3:8" x14ac:dyDescent="0.35">
      <c r="C94" s="75">
        <v>1.0309278350515465</v>
      </c>
      <c r="D94" s="76">
        <v>0.97</v>
      </c>
      <c r="E94" s="3"/>
    </row>
    <row r="95" spans="3:8" x14ac:dyDescent="0.35">
      <c r="C95" s="75">
        <v>1.0416666666666667</v>
      </c>
      <c r="D95" s="76">
        <v>0.96</v>
      </c>
      <c r="E95" s="3"/>
    </row>
    <row r="96" spans="3:8" x14ac:dyDescent="0.35">
      <c r="C96" s="75">
        <v>1.0526315789473684</v>
      </c>
      <c r="D96" s="76">
        <v>0.95</v>
      </c>
      <c r="E96" s="3"/>
    </row>
    <row r="97" spans="3:5" x14ac:dyDescent="0.35">
      <c r="C97" s="75">
        <v>1.0638297872340425</v>
      </c>
      <c r="D97" s="76">
        <v>0.94</v>
      </c>
      <c r="E97" s="3"/>
    </row>
    <row r="98" spans="3:5" x14ac:dyDescent="0.35">
      <c r="C98" s="75">
        <v>1.075268817204301</v>
      </c>
      <c r="D98" s="76">
        <v>0.93</v>
      </c>
      <c r="E98" s="3"/>
    </row>
    <row r="99" spans="3:5" x14ac:dyDescent="0.35">
      <c r="C99" s="75">
        <v>1.0869565217391304</v>
      </c>
      <c r="D99" s="76">
        <v>0.92</v>
      </c>
      <c r="E99" s="3"/>
    </row>
    <row r="100" spans="3:5" x14ac:dyDescent="0.35">
      <c r="C100" s="75">
        <v>1.0989010989010988</v>
      </c>
      <c r="D100" s="76">
        <v>0.91</v>
      </c>
      <c r="E100" s="3"/>
    </row>
    <row r="101" spans="3:5" x14ac:dyDescent="0.35">
      <c r="C101" s="75">
        <v>1.1111111111111112</v>
      </c>
      <c r="D101" s="76">
        <v>0.9</v>
      </c>
      <c r="E101" s="3"/>
    </row>
    <row r="102" spans="3:5" x14ac:dyDescent="0.35">
      <c r="C102" s="75">
        <v>1.1235955056179776</v>
      </c>
      <c r="D102" s="76">
        <v>0.89</v>
      </c>
      <c r="E102" s="3"/>
    </row>
    <row r="103" spans="3:5" x14ac:dyDescent="0.35">
      <c r="C103" s="75">
        <v>1.1363636363636365</v>
      </c>
      <c r="D103" s="76">
        <v>0.88</v>
      </c>
      <c r="E103" s="3"/>
    </row>
    <row r="104" spans="3:5" x14ac:dyDescent="0.35">
      <c r="C104" s="75">
        <v>1.1494252873563218</v>
      </c>
      <c r="D104" s="76">
        <v>0.87</v>
      </c>
      <c r="E104" s="3"/>
    </row>
    <row r="105" spans="3:5" x14ac:dyDescent="0.35">
      <c r="C105" s="75">
        <v>1.1627906976744187</v>
      </c>
      <c r="D105" s="76">
        <v>0.86</v>
      </c>
      <c r="E105" s="3"/>
    </row>
    <row r="106" spans="3:5" x14ac:dyDescent="0.35">
      <c r="C106" s="75">
        <v>1.1764705882352942</v>
      </c>
      <c r="D106" s="76">
        <v>0.85</v>
      </c>
      <c r="E106" s="3"/>
    </row>
    <row r="107" spans="3:5" x14ac:dyDescent="0.35">
      <c r="C107" s="75">
        <v>1.1904761904761905</v>
      </c>
      <c r="D107" s="76">
        <v>0.84</v>
      </c>
      <c r="E107" s="3"/>
    </row>
    <row r="108" spans="3:5" x14ac:dyDescent="0.35">
      <c r="C108" s="75">
        <v>1.2048192771084338</v>
      </c>
      <c r="D108" s="76">
        <v>0.83</v>
      </c>
      <c r="E108" s="3"/>
    </row>
    <row r="109" spans="3:5" x14ac:dyDescent="0.35">
      <c r="C109" s="75">
        <v>1.2195121951219512</v>
      </c>
      <c r="D109" s="76">
        <v>0.82</v>
      </c>
      <c r="E109" s="3"/>
    </row>
    <row r="110" spans="3:5" x14ac:dyDescent="0.35">
      <c r="C110" s="75">
        <v>1.2345679012345678</v>
      </c>
      <c r="D110" s="76">
        <v>0.81</v>
      </c>
      <c r="E110" s="3"/>
    </row>
    <row r="111" spans="3:5" x14ac:dyDescent="0.35">
      <c r="C111" s="75">
        <v>1.25</v>
      </c>
      <c r="D111" s="76">
        <v>0.8</v>
      </c>
      <c r="E111" s="3"/>
    </row>
    <row r="112" spans="3:5" x14ac:dyDescent="0.35">
      <c r="C112" s="75">
        <v>1.2658227848101264</v>
      </c>
      <c r="D112" s="76">
        <v>0.79</v>
      </c>
      <c r="E112" s="3"/>
    </row>
    <row r="113" spans="3:5" x14ac:dyDescent="0.35">
      <c r="C113" s="75">
        <v>1.2820512820512819</v>
      </c>
      <c r="D113" s="76">
        <v>0.78</v>
      </c>
      <c r="E113" s="3"/>
    </row>
    <row r="114" spans="3:5" x14ac:dyDescent="0.35">
      <c r="C114" s="75">
        <v>1.2987012987012987</v>
      </c>
      <c r="D114" s="76">
        <v>0.77</v>
      </c>
      <c r="E114" s="3"/>
    </row>
    <row r="115" spans="3:5" x14ac:dyDescent="0.35">
      <c r="C115" s="75">
        <v>1.3157894736842106</v>
      </c>
      <c r="D115" s="76">
        <v>0.76</v>
      </c>
      <c r="E115" s="3"/>
    </row>
    <row r="116" spans="3:5" x14ac:dyDescent="0.35">
      <c r="C116" s="75">
        <v>1.3333333333333333</v>
      </c>
      <c r="D116" s="76">
        <v>0.75</v>
      </c>
      <c r="E116" s="3"/>
    </row>
    <row r="117" spans="3:5" x14ac:dyDescent="0.35">
      <c r="C117" s="75">
        <v>1.3513513513513513</v>
      </c>
      <c r="D117" s="76">
        <v>0.74</v>
      </c>
      <c r="E117" s="3"/>
    </row>
    <row r="118" spans="3:5" x14ac:dyDescent="0.35">
      <c r="C118" s="75">
        <v>1.3698630136986301</v>
      </c>
      <c r="D118" s="76">
        <v>0.73</v>
      </c>
      <c r="E118" s="3"/>
    </row>
    <row r="119" spans="3:5" x14ac:dyDescent="0.35">
      <c r="C119" s="75">
        <v>1.3888888888888888</v>
      </c>
      <c r="D119" s="76">
        <v>0.72</v>
      </c>
      <c r="E119" s="3"/>
    </row>
    <row r="120" spans="3:5" x14ac:dyDescent="0.35">
      <c r="C120" s="75">
        <v>1.4084507042253522</v>
      </c>
      <c r="D120" s="76">
        <v>0.71</v>
      </c>
      <c r="E120" s="3"/>
    </row>
    <row r="121" spans="3:5" x14ac:dyDescent="0.35">
      <c r="C121" s="75">
        <v>1.4285714285714286</v>
      </c>
      <c r="D121" s="76">
        <v>0.7</v>
      </c>
      <c r="E121" s="3"/>
    </row>
    <row r="122" spans="3:5" x14ac:dyDescent="0.35">
      <c r="C122" s="75">
        <v>1.4492753623188408</v>
      </c>
      <c r="D122" s="76">
        <v>0.69</v>
      </c>
      <c r="E122" s="3"/>
    </row>
    <row r="123" spans="3:5" x14ac:dyDescent="0.35">
      <c r="C123" s="75">
        <v>1.4705882352941175</v>
      </c>
      <c r="D123" s="76">
        <v>0.68</v>
      </c>
      <c r="E123" s="3"/>
    </row>
    <row r="124" spans="3:5" x14ac:dyDescent="0.35">
      <c r="C124" s="75">
        <v>1.4925373134328357</v>
      </c>
      <c r="D124" s="76">
        <v>0.67</v>
      </c>
      <c r="E124" s="3"/>
    </row>
    <row r="125" spans="3:5" x14ac:dyDescent="0.35">
      <c r="C125" s="75">
        <v>1.5151515151515151</v>
      </c>
      <c r="D125" s="76">
        <v>0.66</v>
      </c>
      <c r="E125" s="3"/>
    </row>
    <row r="126" spans="3:5" x14ac:dyDescent="0.35">
      <c r="C126" s="75">
        <v>1.5384615384615383</v>
      </c>
      <c r="D126" s="76">
        <v>0.65</v>
      </c>
      <c r="E126" s="3"/>
    </row>
    <row r="127" spans="3:5" x14ac:dyDescent="0.35">
      <c r="C127" s="75">
        <v>1.5625</v>
      </c>
      <c r="D127" s="76">
        <v>0.64</v>
      </c>
      <c r="E127" s="3"/>
    </row>
    <row r="128" spans="3:5" x14ac:dyDescent="0.35">
      <c r="C128" s="75">
        <v>1.5873015873015872</v>
      </c>
      <c r="D128" s="76">
        <v>0.63</v>
      </c>
      <c r="E128" s="3"/>
    </row>
    <row r="129" spans="3:5" x14ac:dyDescent="0.35">
      <c r="C129" s="75">
        <v>1.6129032258064517</v>
      </c>
      <c r="D129" s="76">
        <v>0.62</v>
      </c>
      <c r="E129" s="3"/>
    </row>
    <row r="130" spans="3:5" x14ac:dyDescent="0.35">
      <c r="C130" s="75">
        <v>1.639344262295082</v>
      </c>
      <c r="D130" s="76">
        <v>0.61</v>
      </c>
      <c r="E130" s="3"/>
    </row>
    <row r="131" spans="3:5" x14ac:dyDescent="0.35">
      <c r="C131" s="75">
        <v>1.6666666666666667</v>
      </c>
      <c r="D131" s="76">
        <v>0.6</v>
      </c>
      <c r="E131" s="3"/>
    </row>
    <row r="132" spans="3:5" x14ac:dyDescent="0.35">
      <c r="C132" s="75">
        <v>1.6949152542372883</v>
      </c>
      <c r="D132" s="76">
        <v>0.59</v>
      </c>
      <c r="E132" s="3"/>
    </row>
    <row r="133" spans="3:5" x14ac:dyDescent="0.35">
      <c r="C133" s="75">
        <v>1.7241379310344829</v>
      </c>
      <c r="D133" s="76">
        <v>0.57999999999999996</v>
      </c>
      <c r="E133" s="3"/>
    </row>
    <row r="134" spans="3:5" x14ac:dyDescent="0.35">
      <c r="C134" s="75">
        <v>1.7543859649122808</v>
      </c>
      <c r="D134" s="76">
        <v>0.56999999999999995</v>
      </c>
      <c r="E134" s="3"/>
    </row>
    <row r="135" spans="3:5" x14ac:dyDescent="0.35">
      <c r="C135" s="75">
        <v>1.7857142857142856</v>
      </c>
      <c r="D135" s="76">
        <v>0.56000000000000005</v>
      </c>
      <c r="E135" s="3"/>
    </row>
    <row r="136" spans="3:5" x14ac:dyDescent="0.35">
      <c r="C136" s="75">
        <v>1.8181818181818181</v>
      </c>
      <c r="D136" s="76">
        <v>0.55000000000000004</v>
      </c>
      <c r="E136" s="3"/>
    </row>
    <row r="137" spans="3:5" x14ac:dyDescent="0.35">
      <c r="C137" s="75">
        <v>1.8518518518518516</v>
      </c>
      <c r="D137" s="76">
        <v>0.54</v>
      </c>
      <c r="E137" s="3"/>
    </row>
    <row r="138" spans="3:5" x14ac:dyDescent="0.35">
      <c r="C138" s="75">
        <v>1.8867924528301885</v>
      </c>
      <c r="D138" s="76">
        <v>0.53</v>
      </c>
      <c r="E138" s="3"/>
    </row>
    <row r="139" spans="3:5" x14ac:dyDescent="0.35">
      <c r="C139" s="75">
        <v>1.9230769230769229</v>
      </c>
      <c r="D139" s="76">
        <v>0.52</v>
      </c>
      <c r="E139" s="3"/>
    </row>
    <row r="140" spans="3:5" x14ac:dyDescent="0.35">
      <c r="C140" s="75">
        <v>1.9607843137254901</v>
      </c>
      <c r="D140" s="76">
        <v>0.51</v>
      </c>
      <c r="E140" s="3"/>
    </row>
    <row r="141" spans="3:5" x14ac:dyDescent="0.35">
      <c r="C141" s="75">
        <v>2</v>
      </c>
      <c r="D141" s="76">
        <v>0.5</v>
      </c>
      <c r="E141" s="3"/>
    </row>
    <row r="142" spans="3:5" x14ac:dyDescent="0.35">
      <c r="C142" s="75">
        <v>2.0408163265306123</v>
      </c>
      <c r="D142" s="76">
        <v>0.49</v>
      </c>
      <c r="E142" s="3"/>
    </row>
    <row r="143" spans="3:5" x14ac:dyDescent="0.35">
      <c r="C143" s="75">
        <v>2.0833333333333335</v>
      </c>
      <c r="D143" s="76">
        <v>0.48</v>
      </c>
      <c r="E143" s="3"/>
    </row>
    <row r="144" spans="3:5" x14ac:dyDescent="0.35">
      <c r="C144" s="75">
        <v>2.1276595744680851</v>
      </c>
      <c r="D144" s="76">
        <v>0.47</v>
      </c>
      <c r="E144" s="3"/>
    </row>
    <row r="145" spans="3:5" x14ac:dyDescent="0.35">
      <c r="C145" s="75">
        <v>2.1739130434782608</v>
      </c>
      <c r="D145" s="76">
        <v>0.46</v>
      </c>
      <c r="E145" s="3"/>
    </row>
    <row r="146" spans="3:5" x14ac:dyDescent="0.35">
      <c r="C146" s="75">
        <v>2.2222222222222223</v>
      </c>
      <c r="D146" s="76">
        <v>0.45</v>
      </c>
      <c r="E146" s="3"/>
    </row>
    <row r="147" spans="3:5" x14ac:dyDescent="0.35">
      <c r="C147" s="75">
        <v>2.2727272727272729</v>
      </c>
      <c r="D147" s="76">
        <v>0.44</v>
      </c>
      <c r="E147" s="3"/>
    </row>
    <row r="148" spans="3:5" x14ac:dyDescent="0.35">
      <c r="C148" s="75">
        <v>2.3255813953488427</v>
      </c>
      <c r="D148" s="76">
        <v>0.43</v>
      </c>
      <c r="E148" s="3"/>
    </row>
    <row r="149" spans="3:5" x14ac:dyDescent="0.35">
      <c r="C149" s="75">
        <v>2.3809523809523867</v>
      </c>
      <c r="D149" s="76">
        <v>0.42</v>
      </c>
      <c r="E149" s="3"/>
    </row>
    <row r="150" spans="3:5" x14ac:dyDescent="0.35">
      <c r="C150" s="75">
        <v>2.4390243902439086</v>
      </c>
      <c r="D150" s="76">
        <v>0.41</v>
      </c>
      <c r="E150" s="3"/>
    </row>
    <row r="151" spans="3:5" x14ac:dyDescent="0.35">
      <c r="C151" s="75">
        <v>2.5000000000000062</v>
      </c>
      <c r="D151" s="76">
        <v>0.4</v>
      </c>
      <c r="E151" s="3"/>
    </row>
    <row r="152" spans="3:5" x14ac:dyDescent="0.35">
      <c r="C152" s="75">
        <v>2.5641025641025705</v>
      </c>
      <c r="D152" s="76">
        <v>0.39</v>
      </c>
      <c r="E152" s="3"/>
    </row>
    <row r="153" spans="3:5" x14ac:dyDescent="0.35">
      <c r="C153" s="75">
        <v>2.6315789473684279</v>
      </c>
      <c r="D153" s="76">
        <v>0.38</v>
      </c>
      <c r="E153" s="3"/>
    </row>
    <row r="154" spans="3:5" x14ac:dyDescent="0.35">
      <c r="C154" s="75">
        <v>2.7027027027027102</v>
      </c>
      <c r="D154" s="76">
        <v>0.37</v>
      </c>
      <c r="E154" s="3"/>
    </row>
    <row r="155" spans="3:5" x14ac:dyDescent="0.35">
      <c r="C155" s="75">
        <v>2.7777777777777857</v>
      </c>
      <c r="D155" s="76">
        <v>0.36</v>
      </c>
      <c r="E155" s="3"/>
    </row>
    <row r="156" spans="3:5" x14ac:dyDescent="0.35">
      <c r="C156" s="75">
        <v>2.8571428571428656</v>
      </c>
      <c r="D156" s="76">
        <v>0.35</v>
      </c>
      <c r="E156" s="3"/>
    </row>
    <row r="157" spans="3:5" x14ac:dyDescent="0.35">
      <c r="C157" s="75">
        <v>2.9411764705882439</v>
      </c>
      <c r="D157" s="76">
        <v>0.34</v>
      </c>
      <c r="E157" s="3"/>
    </row>
    <row r="158" spans="3:5" x14ac:dyDescent="0.35">
      <c r="C158" s="75">
        <v>3.0303030303030392</v>
      </c>
      <c r="D158" s="76">
        <v>0.33</v>
      </c>
      <c r="E158" s="3"/>
    </row>
    <row r="159" spans="3:5" x14ac:dyDescent="0.35">
      <c r="C159" s="75">
        <v>3.1250000000000098</v>
      </c>
      <c r="D159" s="76">
        <v>0.32</v>
      </c>
      <c r="E159" s="3"/>
    </row>
    <row r="160" spans="3:5" x14ac:dyDescent="0.35">
      <c r="C160" s="75">
        <v>3.2258064516129137</v>
      </c>
      <c r="D160" s="76">
        <v>0.31</v>
      </c>
      <c r="E160" s="3"/>
    </row>
    <row r="161" spans="3:5" x14ac:dyDescent="0.35">
      <c r="C161" s="75">
        <v>3.3333333333333446</v>
      </c>
      <c r="D161" s="76">
        <v>0.3</v>
      </c>
      <c r="E161" s="3"/>
    </row>
    <row r="162" spans="3:5" x14ac:dyDescent="0.35">
      <c r="C162" s="75">
        <v>3.4482758620689777</v>
      </c>
      <c r="D162" s="76">
        <v>0.28999999999999998</v>
      </c>
      <c r="E162" s="3"/>
    </row>
    <row r="163" spans="3:5" x14ac:dyDescent="0.35">
      <c r="C163" s="75">
        <v>3.5714285714285841</v>
      </c>
      <c r="D163" s="76">
        <v>0.28000000000000003</v>
      </c>
      <c r="E163" s="3"/>
    </row>
    <row r="164" spans="3:5" x14ac:dyDescent="0.35">
      <c r="C164" s="75">
        <v>3.703703703703717</v>
      </c>
      <c r="D164" s="76">
        <v>0.27</v>
      </c>
      <c r="E164" s="3"/>
    </row>
    <row r="165" spans="3:5" x14ac:dyDescent="0.35">
      <c r="C165" s="75">
        <v>3.8461538461538609</v>
      </c>
      <c r="D165" s="76">
        <v>0.26</v>
      </c>
      <c r="E165" s="3"/>
    </row>
    <row r="166" spans="3:5" x14ac:dyDescent="0.35">
      <c r="C166" s="75">
        <v>4.000000000000016</v>
      </c>
      <c r="D166" s="76">
        <v>0.25</v>
      </c>
      <c r="E166" s="3"/>
    </row>
    <row r="167" spans="3:5" x14ac:dyDescent="0.35">
      <c r="C167" s="75">
        <v>4.1666666666666838</v>
      </c>
      <c r="D167" s="76">
        <v>0.24</v>
      </c>
      <c r="E167" s="3"/>
    </row>
    <row r="168" spans="3:5" x14ac:dyDescent="0.35">
      <c r="C168" s="75">
        <v>4.3478260869565402</v>
      </c>
      <c r="D168" s="76">
        <v>0.23</v>
      </c>
      <c r="E168" s="3"/>
    </row>
    <row r="169" spans="3:5" x14ac:dyDescent="0.35">
      <c r="C169" s="75">
        <v>4.5454545454545663</v>
      </c>
      <c r="D169" s="76">
        <v>0.22</v>
      </c>
      <c r="E169" s="3"/>
    </row>
    <row r="170" spans="3:5" x14ac:dyDescent="0.35">
      <c r="C170" s="75">
        <v>4.761904761904785</v>
      </c>
      <c r="D170" s="76">
        <v>0.21</v>
      </c>
      <c r="E170" s="3"/>
    </row>
    <row r="171" spans="3:5" x14ac:dyDescent="0.35">
      <c r="C171" s="75">
        <v>5.0000000000000249</v>
      </c>
      <c r="D171" s="76">
        <v>0.2</v>
      </c>
      <c r="E171" s="3"/>
    </row>
    <row r="172" spans="3:5" x14ac:dyDescent="0.35">
      <c r="C172" s="75">
        <v>5.26315789473687</v>
      </c>
      <c r="D172" s="76">
        <v>0.19</v>
      </c>
      <c r="E172" s="3"/>
    </row>
    <row r="173" spans="3:5" x14ac:dyDescent="0.35">
      <c r="C173" s="75">
        <v>5.5555555555555864</v>
      </c>
      <c r="D173" s="76">
        <v>0.18</v>
      </c>
      <c r="E173" s="3"/>
    </row>
    <row r="174" spans="3:5" x14ac:dyDescent="0.35">
      <c r="C174" s="75">
        <v>5.8823529411765048</v>
      </c>
      <c r="D174" s="76">
        <v>0.17</v>
      </c>
      <c r="E174" s="3"/>
    </row>
    <row r="175" spans="3:5" x14ac:dyDescent="0.35">
      <c r="C175" s="75">
        <v>6.2500000000000391</v>
      </c>
      <c r="D175" s="76">
        <v>0.16</v>
      </c>
      <c r="E175" s="3"/>
    </row>
    <row r="176" spans="3:5" x14ac:dyDescent="0.35">
      <c r="C176" s="75">
        <v>6.6666666666667114</v>
      </c>
      <c r="D176" s="76">
        <v>0.15</v>
      </c>
      <c r="E176" s="3"/>
    </row>
    <row r="177" spans="3:5" x14ac:dyDescent="0.35">
      <c r="C177" s="75">
        <v>7.1428571428571948</v>
      </c>
      <c r="D177" s="76">
        <v>0.14000000000000001</v>
      </c>
      <c r="E177" s="3"/>
    </row>
    <row r="178" spans="3:5" x14ac:dyDescent="0.35">
      <c r="C178" s="75">
        <v>7.6923076923077511</v>
      </c>
      <c r="D178" s="76">
        <v>0.13</v>
      </c>
      <c r="E178" s="3"/>
    </row>
    <row r="179" spans="3:5" x14ac:dyDescent="0.35">
      <c r="C179" s="75">
        <v>8.3333333333334032</v>
      </c>
      <c r="D179" s="76">
        <v>0.12</v>
      </c>
      <c r="E179" s="3"/>
    </row>
    <row r="180" spans="3:5" x14ac:dyDescent="0.35">
      <c r="C180" s="75">
        <v>9.0909090909091734</v>
      </c>
      <c r="D180" s="76">
        <v>0.11</v>
      </c>
      <c r="E180" s="3"/>
    </row>
    <row r="181" spans="3:5" x14ac:dyDescent="0.35">
      <c r="C181" s="75">
        <v>10.000000000000099</v>
      </c>
      <c r="D181" s="76">
        <v>0.1</v>
      </c>
      <c r="E181" s="3"/>
    </row>
    <row r="182" spans="3:5" x14ac:dyDescent="0.35">
      <c r="C182" s="75">
        <v>11.111111111111235</v>
      </c>
      <c r="D182" s="76">
        <v>0.09</v>
      </c>
      <c r="E182" s="3"/>
    </row>
    <row r="183" spans="3:5" x14ac:dyDescent="0.35">
      <c r="C183" s="75">
        <v>12.500000000000156</v>
      </c>
      <c r="D183" s="76">
        <v>0.08</v>
      </c>
      <c r="E183" s="3"/>
    </row>
    <row r="184" spans="3:5" x14ac:dyDescent="0.35">
      <c r="C184" s="75">
        <v>14.285714285714491</v>
      </c>
      <c r="D184" s="76">
        <v>7.0000000000000007E-2</v>
      </c>
      <c r="E184" s="3"/>
    </row>
    <row r="185" spans="3:5" x14ac:dyDescent="0.35">
      <c r="C185" s="75">
        <v>16.666666666666917</v>
      </c>
      <c r="D185" s="76">
        <v>0.06</v>
      </c>
      <c r="E185" s="3"/>
    </row>
    <row r="186" spans="3:5" x14ac:dyDescent="0.35">
      <c r="C186" s="75">
        <v>20.000000000000401</v>
      </c>
      <c r="D186" s="76">
        <v>0.05</v>
      </c>
      <c r="E186" s="3"/>
    </row>
    <row r="187" spans="3:5" x14ac:dyDescent="0.35">
      <c r="C187" s="75">
        <v>25.000000000000625</v>
      </c>
      <c r="D187" s="76">
        <v>0.04</v>
      </c>
      <c r="E187" s="3"/>
    </row>
    <row r="188" spans="3:5" x14ac:dyDescent="0.35">
      <c r="C188" s="75">
        <v>33.333333333334444</v>
      </c>
      <c r="D188" s="76">
        <v>0.03</v>
      </c>
      <c r="E188" s="3"/>
    </row>
    <row r="189" spans="3:5" x14ac:dyDescent="0.35">
      <c r="C189" s="75">
        <v>50.000000000002494</v>
      </c>
      <c r="D189" s="76">
        <v>0.02</v>
      </c>
      <c r="E189" s="3"/>
    </row>
    <row r="190" spans="3:5" x14ac:dyDescent="0.35">
      <c r="C190" s="75">
        <v>100.0000000000099</v>
      </c>
      <c r="D190" s="76">
        <v>0.01</v>
      </c>
      <c r="E190" s="3"/>
    </row>
  </sheetData>
  <sheetProtection formatCells="0" formatColumns="0" formatRows="0" insertColumns="0" insertRows="0" insertHyperlinks="0" deleteColumns="0" deleteRows="0" selectLockedCells="1" sort="0" autoFilter="0" pivotTables="0"/>
  <mergeCells count="20">
    <mergeCell ref="C15:K15"/>
    <mergeCell ref="B76:B77"/>
    <mergeCell ref="B16:C16"/>
    <mergeCell ref="C17:K17"/>
    <mergeCell ref="B18:C18"/>
    <mergeCell ref="B19:C19"/>
    <mergeCell ref="B21:K21"/>
    <mergeCell ref="D23:K23"/>
    <mergeCell ref="C14:K14"/>
    <mergeCell ref="B2:K2"/>
    <mergeCell ref="C3:D3"/>
    <mergeCell ref="B4:C4"/>
    <mergeCell ref="B5:K5"/>
    <mergeCell ref="C7:K7"/>
    <mergeCell ref="C8:K8"/>
    <mergeCell ref="C13:K13"/>
    <mergeCell ref="C9:K9"/>
    <mergeCell ref="C10:K10"/>
    <mergeCell ref="C11:K11"/>
    <mergeCell ref="C12:K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6330F"/>
    <pageSetUpPr fitToPage="1"/>
  </sheetPr>
  <dimension ref="A1:K23"/>
  <sheetViews>
    <sheetView showGridLines="0" topLeftCell="A14" zoomScaleNormal="100" workbookViewId="0">
      <selection activeCell="E17" sqref="E17"/>
    </sheetView>
  </sheetViews>
  <sheetFormatPr defaultColWidth="9.1796875" defaultRowHeight="10.5" x14ac:dyDescent="0.25"/>
  <cols>
    <col min="1" max="1" width="3.1796875" style="19" bestFit="1" customWidth="1"/>
    <col min="2" max="2" width="37.1796875" style="18" customWidth="1"/>
    <col min="3" max="3" width="36.453125" style="18" customWidth="1"/>
    <col min="4" max="5" width="23.1796875" style="18" customWidth="1"/>
    <col min="6" max="6" width="22.453125" style="18" customWidth="1"/>
    <col min="7" max="7" width="99.1796875" style="17" customWidth="1"/>
    <col min="8" max="8" width="23.81640625" style="16" customWidth="1"/>
    <col min="9" max="9" width="5.453125" style="15" customWidth="1"/>
    <col min="10" max="10" width="5.453125" style="13" customWidth="1"/>
    <col min="11" max="11" width="40.453125" style="14" customWidth="1"/>
    <col min="12" max="12" width="8.54296875" style="13" customWidth="1"/>
    <col min="13" max="16384" width="9.1796875" style="13"/>
  </cols>
  <sheetData>
    <row r="1" spans="2:11" ht="14.5" customHeight="1" x14ac:dyDescent="0.35">
      <c r="B1" s="26"/>
      <c r="C1" s="26"/>
      <c r="D1" s="26"/>
      <c r="E1" s="26"/>
      <c r="F1" s="26"/>
      <c r="G1" s="26"/>
      <c r="H1" s="26"/>
      <c r="I1" s="26"/>
      <c r="J1" s="26"/>
      <c r="K1" s="26"/>
    </row>
    <row r="2" spans="2:11" ht="15.65" customHeight="1" x14ac:dyDescent="0.35">
      <c r="B2" s="11" t="s">
        <v>77</v>
      </c>
      <c r="C2" s="28" t="s">
        <v>78</v>
      </c>
      <c r="D2" s="26"/>
      <c r="E2" s="374" t="s">
        <v>79</v>
      </c>
      <c r="F2" s="374"/>
      <c r="G2" s="374"/>
      <c r="H2" s="26"/>
      <c r="I2" s="26"/>
      <c r="J2" s="26"/>
      <c r="K2" s="26"/>
    </row>
    <row r="3" spans="2:11" ht="15.65" customHeight="1" x14ac:dyDescent="0.35">
      <c r="B3" s="11" t="s">
        <v>80</v>
      </c>
      <c r="C3" s="28" t="s">
        <v>587</v>
      </c>
      <c r="D3" s="26"/>
      <c r="E3" s="374"/>
      <c r="F3" s="374"/>
      <c r="G3" s="374"/>
      <c r="H3" s="26"/>
      <c r="I3" s="26"/>
      <c r="J3" s="26"/>
      <c r="K3" s="26"/>
    </row>
    <row r="4" spans="2:11" ht="14.5" customHeight="1" x14ac:dyDescent="0.35">
      <c r="B4" s="11" t="s">
        <v>81</v>
      </c>
      <c r="C4" s="27" t="s">
        <v>82</v>
      </c>
      <c r="D4" s="26"/>
      <c r="E4" s="26"/>
      <c r="F4" s="26"/>
      <c r="G4" s="26"/>
      <c r="H4" s="26"/>
      <c r="I4" s="26"/>
      <c r="J4" s="26"/>
      <c r="K4" s="26"/>
    </row>
    <row r="5" spans="2:11" ht="14.5" customHeight="1" x14ac:dyDescent="0.35">
      <c r="B5" s="11" t="s">
        <v>83</v>
      </c>
      <c r="C5" s="27" t="s">
        <v>82</v>
      </c>
      <c r="D5" s="26"/>
      <c r="E5" s="26"/>
      <c r="F5" s="26"/>
      <c r="G5" s="26"/>
      <c r="H5" s="26"/>
      <c r="I5" s="26"/>
      <c r="J5" s="26"/>
      <c r="K5" s="26"/>
    </row>
    <row r="6" spans="2:11" ht="14.5" customHeight="1" x14ac:dyDescent="0.35">
      <c r="B6" s="11" t="s">
        <v>84</v>
      </c>
      <c r="C6" s="27" t="s">
        <v>82</v>
      </c>
      <c r="D6" s="26"/>
      <c r="E6" s="26"/>
      <c r="F6" s="26"/>
      <c r="G6" s="26"/>
      <c r="H6" s="26"/>
      <c r="I6" s="26"/>
      <c r="J6" s="26"/>
      <c r="K6" s="26"/>
    </row>
    <row r="7" spans="2:11" ht="32.5" customHeight="1" x14ac:dyDescent="0.35">
      <c r="B7" s="11" t="s">
        <v>85</v>
      </c>
      <c r="C7" s="27"/>
      <c r="D7" s="26"/>
      <c r="E7" s="26"/>
      <c r="F7" s="26"/>
      <c r="G7" s="26"/>
      <c r="H7" s="26"/>
      <c r="I7" s="26"/>
      <c r="J7" s="26"/>
      <c r="K7" s="26"/>
    </row>
    <row r="8" spans="2:11" ht="12" customHeight="1" thickBot="1" x14ac:dyDescent="0.3"/>
    <row r="9" spans="2:11" x14ac:dyDescent="0.25">
      <c r="G9" s="66"/>
    </row>
    <row r="10" spans="2:11" ht="10.4" customHeight="1" x14ac:dyDescent="0.4">
      <c r="B10" s="25"/>
      <c r="C10" s="107"/>
      <c r="D10" s="107"/>
      <c r="E10" s="107"/>
      <c r="F10" s="107"/>
    </row>
    <row r="11" spans="2:11" ht="11.15" customHeight="1" thickBot="1" x14ac:dyDescent="0.45">
      <c r="B11" s="25"/>
      <c r="C11" s="108"/>
      <c r="D11" s="108"/>
      <c r="E11" s="108"/>
      <c r="F11" s="108"/>
    </row>
    <row r="12" spans="2:11" ht="16" thickBot="1" x14ac:dyDescent="0.3">
      <c r="C12" s="371" t="s">
        <v>86</v>
      </c>
      <c r="D12" s="372"/>
      <c r="E12" s="372"/>
      <c r="F12" s="373"/>
      <c r="G12" s="371" t="s">
        <v>586</v>
      </c>
      <c r="H12" s="372"/>
      <c r="I12" s="372"/>
      <c r="J12" s="373"/>
    </row>
    <row r="13" spans="2:11" ht="25.5" customHeight="1" thickBot="1" x14ac:dyDescent="0.3">
      <c r="C13" s="24" t="s">
        <v>87</v>
      </c>
      <c r="D13" s="23" t="s">
        <v>88</v>
      </c>
      <c r="E13" s="22" t="s">
        <v>89</v>
      </c>
      <c r="F13" s="22" t="s">
        <v>90</v>
      </c>
      <c r="G13" s="371" t="s">
        <v>589</v>
      </c>
      <c r="H13" s="372"/>
      <c r="I13" s="372"/>
      <c r="J13" s="373"/>
    </row>
    <row r="14" spans="2:11" ht="15.5" customHeight="1" x14ac:dyDescent="0.25">
      <c r="C14" s="289" t="s">
        <v>52</v>
      </c>
      <c r="D14" s="290">
        <v>0.2</v>
      </c>
      <c r="E14" s="291"/>
      <c r="F14" s="292">
        <f>'Key Requirements'!L26</f>
        <v>0</v>
      </c>
      <c r="G14" s="362" t="s">
        <v>588</v>
      </c>
      <c r="H14" s="363"/>
      <c r="I14" s="363"/>
      <c r="J14" s="364"/>
    </row>
    <row r="15" spans="2:11" ht="14" x14ac:dyDescent="0.25">
      <c r="C15" s="293" t="s">
        <v>53</v>
      </c>
      <c r="D15" s="294">
        <v>0.45</v>
      </c>
      <c r="E15" s="295"/>
      <c r="F15" s="296">
        <f>Functional!L127</f>
        <v>0</v>
      </c>
      <c r="G15" s="365"/>
      <c r="H15" s="366"/>
      <c r="I15" s="366"/>
      <c r="J15" s="367"/>
    </row>
    <row r="16" spans="2:11" ht="14" x14ac:dyDescent="0.25">
      <c r="C16" s="293" t="s">
        <v>54</v>
      </c>
      <c r="D16" s="294">
        <v>0.15</v>
      </c>
      <c r="E16" s="295"/>
      <c r="F16" s="296">
        <f>'Non-Functional'!L97</f>
        <v>0</v>
      </c>
      <c r="G16" s="365"/>
      <c r="H16" s="366"/>
      <c r="I16" s="366"/>
      <c r="J16" s="367"/>
    </row>
    <row r="17" spans="3:10" ht="14" x14ac:dyDescent="0.25">
      <c r="C17" s="297" t="s">
        <v>56</v>
      </c>
      <c r="D17" s="294">
        <v>0.1</v>
      </c>
      <c r="E17" s="295"/>
      <c r="F17" s="296">
        <f>Cloud!L39</f>
        <v>0</v>
      </c>
      <c r="G17" s="365"/>
      <c r="H17" s="366"/>
      <c r="I17" s="366"/>
      <c r="J17" s="367"/>
    </row>
    <row r="18" spans="3:10" ht="14" x14ac:dyDescent="0.25">
      <c r="C18" s="293" t="s">
        <v>57</v>
      </c>
      <c r="D18" s="294">
        <v>0.1</v>
      </c>
      <c r="E18" s="295"/>
      <c r="F18" s="296">
        <f>Security!L60</f>
        <v>0</v>
      </c>
      <c r="G18" s="365"/>
      <c r="H18" s="366"/>
      <c r="I18" s="366"/>
      <c r="J18" s="367"/>
    </row>
    <row r="19" spans="3:10" ht="14.5" thickBot="1" x14ac:dyDescent="0.3">
      <c r="C19" s="298" t="s">
        <v>91</v>
      </c>
      <c r="D19" s="299">
        <f>SUM(D14:D18)</f>
        <v>1</v>
      </c>
      <c r="E19" s="300">
        <v>0.7</v>
      </c>
      <c r="F19" s="300">
        <f>SUM(F14:F18)</f>
        <v>0</v>
      </c>
      <c r="G19" s="365"/>
      <c r="H19" s="366"/>
      <c r="I19" s="366"/>
      <c r="J19" s="367"/>
    </row>
    <row r="20" spans="3:10" ht="11" customHeight="1" thickBot="1" x14ac:dyDescent="0.3">
      <c r="C20" s="21"/>
      <c r="F20" s="20"/>
      <c r="G20" s="368"/>
      <c r="H20" s="369"/>
      <c r="I20" s="369"/>
      <c r="J20" s="370"/>
    </row>
    <row r="21" spans="3:10" ht="16" thickBot="1" x14ac:dyDescent="0.3">
      <c r="C21" s="371" t="s">
        <v>92</v>
      </c>
      <c r="D21" s="372"/>
      <c r="E21" s="372"/>
      <c r="F21" s="373"/>
      <c r="G21" s="356"/>
      <c r="H21" s="357"/>
      <c r="I21" s="357"/>
      <c r="J21" s="358"/>
    </row>
    <row r="22" spans="3:10" ht="16" thickBot="1" x14ac:dyDescent="0.3">
      <c r="C22" s="24" t="s">
        <v>58</v>
      </c>
      <c r="D22" s="23" t="s">
        <v>88</v>
      </c>
      <c r="E22" s="22" t="s">
        <v>89</v>
      </c>
      <c r="F22" s="22" t="s">
        <v>90</v>
      </c>
      <c r="G22" s="356"/>
      <c r="H22" s="357"/>
      <c r="I22" s="357"/>
      <c r="J22" s="358"/>
    </row>
    <row r="23" spans="3:10" ht="120.65" customHeight="1" thickBot="1" x14ac:dyDescent="0.3">
      <c r="C23" s="287" t="s">
        <v>58</v>
      </c>
      <c r="D23" s="288">
        <v>1</v>
      </c>
      <c r="E23" s="288">
        <v>0.8</v>
      </c>
      <c r="F23" s="288"/>
      <c r="G23" s="359" t="s">
        <v>590</v>
      </c>
      <c r="H23" s="360"/>
      <c r="I23" s="360"/>
      <c r="J23" s="361"/>
    </row>
  </sheetData>
  <mergeCells count="9">
    <mergeCell ref="C12:F12"/>
    <mergeCell ref="E2:G3"/>
    <mergeCell ref="G12:J12"/>
    <mergeCell ref="G13:J13"/>
    <mergeCell ref="G21:J21"/>
    <mergeCell ref="G22:J22"/>
    <mergeCell ref="G23:J23"/>
    <mergeCell ref="G14:J20"/>
    <mergeCell ref="C21:F21"/>
  </mergeCells>
  <conditionalFormatting sqref="F19">
    <cfRule type="expression" dxfId="2" priority="4">
      <formula>$F$19&lt;$E$19</formula>
    </cfRule>
    <cfRule type="expression" dxfId="1" priority="5">
      <formula>$F$19&gt;$E$19</formula>
    </cfRule>
    <cfRule type="expression" dxfId="0" priority="6">
      <formula>$F$19=$E$19</formula>
    </cfRule>
  </conditionalFormatting>
  <pageMargins left="0.25" right="0.25"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98787"/>
    <pageSetUpPr fitToPage="1"/>
  </sheetPr>
  <dimension ref="A1:M26"/>
  <sheetViews>
    <sheetView topLeftCell="D15" zoomScaleNormal="100" workbookViewId="0">
      <selection activeCell="L16" sqref="L16:L20"/>
    </sheetView>
  </sheetViews>
  <sheetFormatPr defaultColWidth="9.1796875" defaultRowHeight="10.5" x14ac:dyDescent="0.25"/>
  <cols>
    <col min="1" max="1" width="3.1796875" style="19" bestFit="1" customWidth="1"/>
    <col min="2" max="2" width="37.1796875" style="18" customWidth="1"/>
    <col min="3" max="3" width="37.54296875" style="18" customWidth="1"/>
    <col min="4" max="4" width="6.54296875" style="18" bestFit="1" customWidth="1"/>
    <col min="5" max="5" width="15.81640625" style="18" bestFit="1" customWidth="1"/>
    <col min="6" max="6" width="17.54296875" style="18" bestFit="1" customWidth="1"/>
    <col min="7" max="7" width="8.54296875" style="18" customWidth="1"/>
    <col min="8" max="8" width="7.54296875" style="18" customWidth="1"/>
    <col min="9" max="9" width="13.54296875" style="17" customWidth="1"/>
    <col min="10" max="10" width="35.54296875" style="16" customWidth="1"/>
    <col min="11" max="11" width="9.453125" style="15" customWidth="1"/>
    <col min="12" max="12" width="5.453125" style="13" customWidth="1"/>
    <col min="13" max="13" width="40.453125" style="14" customWidth="1"/>
    <col min="14" max="14" width="8.54296875" style="13" customWidth="1"/>
    <col min="15" max="16384" width="9.1796875" style="13"/>
  </cols>
  <sheetData>
    <row r="1" spans="1:13" x14ac:dyDescent="0.25">
      <c r="B1" s="64"/>
      <c r="C1" s="64"/>
      <c r="D1" s="64"/>
      <c r="E1" s="64"/>
      <c r="F1" s="64"/>
      <c r="G1" s="64"/>
      <c r="H1" s="64"/>
    </row>
    <row r="2" spans="1:13" ht="16.399999999999999" customHeight="1" x14ac:dyDescent="0.35">
      <c r="B2" s="11" t="s">
        <v>77</v>
      </c>
      <c r="C2" s="12" t="str">
        <f>'Scoring Summary'!C2</f>
        <v>&lt;insert before tender publication&gt;</v>
      </c>
      <c r="D2" s="26"/>
      <c r="E2" s="374" t="s">
        <v>93</v>
      </c>
      <c r="F2" s="374"/>
      <c r="G2" s="374"/>
      <c r="H2" s="26"/>
      <c r="I2" s="26"/>
      <c r="J2" s="26"/>
      <c r="K2" s="26"/>
      <c r="L2" s="26"/>
      <c r="M2" s="26"/>
    </row>
    <row r="3" spans="1:13" ht="16.399999999999999" customHeight="1" x14ac:dyDescent="0.35">
      <c r="B3" s="11" t="s">
        <v>80</v>
      </c>
      <c r="C3" s="12" t="s">
        <v>587</v>
      </c>
      <c r="D3" s="26"/>
      <c r="E3" s="374"/>
      <c r="F3" s="374"/>
      <c r="G3" s="374"/>
      <c r="H3" s="26"/>
      <c r="I3" s="26"/>
      <c r="J3" s="26"/>
      <c r="K3" s="26"/>
      <c r="L3" s="26"/>
      <c r="M3" s="26"/>
    </row>
    <row r="4" spans="1:13" ht="14.5" customHeight="1" x14ac:dyDescent="0.35">
      <c r="B4" s="11" t="s">
        <v>94</v>
      </c>
      <c r="C4" s="12" t="str">
        <f>'Scoring Summary'!C4</f>
        <v>&lt;Evaluator to complete&gt;</v>
      </c>
      <c r="D4" s="26"/>
      <c r="E4" s="63"/>
      <c r="F4" s="63"/>
      <c r="G4" s="63"/>
      <c r="H4" s="26"/>
      <c r="I4" s="26"/>
      <c r="J4" s="26"/>
      <c r="K4" s="26"/>
      <c r="L4" s="26"/>
      <c r="M4" s="26"/>
    </row>
    <row r="5" spans="1:13" ht="14.5" customHeight="1" x14ac:dyDescent="0.35">
      <c r="B5" s="11" t="s">
        <v>83</v>
      </c>
      <c r="C5" s="12" t="str">
        <f>'Scoring Summary'!C5</f>
        <v>&lt;Evaluator to complete&gt;</v>
      </c>
      <c r="D5" s="26"/>
      <c r="E5" s="26"/>
      <c r="F5" s="26"/>
      <c r="G5" s="26"/>
      <c r="H5" s="26"/>
      <c r="I5" s="26"/>
      <c r="J5" s="26"/>
      <c r="K5" s="26"/>
      <c r="L5" s="26"/>
      <c r="M5" s="26"/>
    </row>
    <row r="6" spans="1:13" ht="14.5" customHeight="1" x14ac:dyDescent="0.35">
      <c r="B6" s="11" t="s">
        <v>84</v>
      </c>
      <c r="C6" s="12" t="str">
        <f>'Scoring Summary'!C6</f>
        <v>&lt;Evaluator to complete&gt;</v>
      </c>
      <c r="D6" s="26"/>
      <c r="E6" s="26"/>
      <c r="F6" s="26"/>
      <c r="G6" s="26"/>
      <c r="H6" s="26"/>
      <c r="I6" s="26"/>
      <c r="J6" s="26"/>
      <c r="K6" s="26"/>
      <c r="L6" s="26"/>
      <c r="M6" s="26"/>
    </row>
    <row r="7" spans="1:13" ht="27.65" customHeight="1" x14ac:dyDescent="0.35">
      <c r="B7" s="11" t="s">
        <v>85</v>
      </c>
      <c r="C7" s="12"/>
      <c r="D7" s="26"/>
      <c r="E7" s="26"/>
      <c r="F7" s="26"/>
      <c r="G7" s="26"/>
      <c r="H7" s="26"/>
      <c r="I7" s="26"/>
      <c r="J7" s="26"/>
      <c r="K7" s="26"/>
      <c r="L7" s="26"/>
      <c r="M7" s="26"/>
    </row>
    <row r="8" spans="1:13" ht="12" customHeight="1" x14ac:dyDescent="0.25"/>
    <row r="10" spans="1:13" x14ac:dyDescent="0.25">
      <c r="B10" s="25"/>
      <c r="C10" s="25"/>
      <c r="D10" s="25"/>
      <c r="E10" s="25"/>
      <c r="F10" s="25"/>
      <c r="G10" s="25"/>
      <c r="H10" s="25"/>
    </row>
    <row r="12" spans="1:13" x14ac:dyDescent="0.25">
      <c r="B12" s="25"/>
      <c r="C12" s="25"/>
      <c r="D12" s="25"/>
      <c r="E12" s="25"/>
      <c r="F12" s="25"/>
      <c r="G12" s="25"/>
      <c r="H12" s="25"/>
    </row>
    <row r="13" spans="1:13" ht="11" thickBot="1" x14ac:dyDescent="0.3">
      <c r="B13" s="25"/>
      <c r="C13" s="25"/>
      <c r="D13" s="25"/>
      <c r="E13" s="25"/>
      <c r="F13" s="25"/>
      <c r="G13" s="25"/>
      <c r="H13" s="25"/>
    </row>
    <row r="14" spans="1:13" ht="14.5" customHeight="1" x14ac:dyDescent="0.2">
      <c r="A14" s="315" t="s">
        <v>14</v>
      </c>
      <c r="B14" s="317" t="s">
        <v>15</v>
      </c>
      <c r="C14" s="318"/>
      <c r="D14" s="319" t="s">
        <v>16</v>
      </c>
      <c r="E14" s="320"/>
      <c r="F14" s="321"/>
      <c r="G14" s="62"/>
      <c r="H14" s="62"/>
      <c r="I14" s="61" t="s">
        <v>17</v>
      </c>
      <c r="J14" s="60"/>
      <c r="K14" s="60"/>
      <c r="L14" s="60"/>
      <c r="M14" s="59"/>
    </row>
    <row r="15" spans="1:13" s="29" customFormat="1" ht="58.4" customHeight="1" thickBot="1" x14ac:dyDescent="0.4">
      <c r="A15" s="316"/>
      <c r="B15" s="58" t="s">
        <v>95</v>
      </c>
      <c r="C15" s="57" t="s">
        <v>19</v>
      </c>
      <c r="D15" s="56" t="s">
        <v>20</v>
      </c>
      <c r="E15" s="55" t="s">
        <v>21</v>
      </c>
      <c r="F15" s="54" t="s">
        <v>22</v>
      </c>
      <c r="G15" s="53" t="s">
        <v>23</v>
      </c>
      <c r="H15" s="52" t="s">
        <v>24</v>
      </c>
      <c r="I15" s="51" t="s">
        <v>25</v>
      </c>
      <c r="J15" s="50" t="s">
        <v>26</v>
      </c>
      <c r="K15" s="49" t="s">
        <v>27</v>
      </c>
      <c r="L15" s="48" t="s">
        <v>28</v>
      </c>
      <c r="M15" s="47" t="s">
        <v>29</v>
      </c>
    </row>
    <row r="16" spans="1:13" s="46" customFormat="1" ht="15" customHeight="1" x14ac:dyDescent="0.2">
      <c r="A16" s="322">
        <v>1</v>
      </c>
      <c r="B16" s="385" t="s">
        <v>96</v>
      </c>
      <c r="C16" s="385" t="s">
        <v>96</v>
      </c>
      <c r="D16" s="328"/>
      <c r="E16" s="331"/>
      <c r="F16" s="376"/>
      <c r="G16" s="379" t="s">
        <v>73</v>
      </c>
      <c r="H16" s="309">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5</v>
      </c>
      <c r="I16" s="311">
        <f>(H16/$H$26)/_xlfn.XLOOKUP('Scoring Summary'!$D$14,'Response Guidelines'!$D$91:$D$190,'Response Guidelines'!$C$91:$C$190,"",0,1)</f>
        <v>0.11111111111111056</v>
      </c>
      <c r="J16" s="118" t="s">
        <v>97</v>
      </c>
      <c r="K16" s="42">
        <f>I16</f>
        <v>0.11111111111111056</v>
      </c>
      <c r="L16" s="311"/>
      <c r="M16" s="314"/>
    </row>
    <row r="17" spans="1:13" s="46" customFormat="1" ht="15" customHeight="1" x14ac:dyDescent="0.2">
      <c r="A17" s="322"/>
      <c r="B17" s="386"/>
      <c r="C17" s="386"/>
      <c r="D17" s="329"/>
      <c r="E17" s="332"/>
      <c r="F17" s="376"/>
      <c r="G17" s="380"/>
      <c r="H17" s="310"/>
      <c r="I17" s="312"/>
      <c r="J17" s="118" t="s">
        <v>98</v>
      </c>
      <c r="K17" s="38">
        <f>K16*0.75</f>
        <v>8.3333333333332926E-2</v>
      </c>
      <c r="L17" s="312"/>
      <c r="M17" s="305"/>
    </row>
    <row r="18" spans="1:13" s="46" customFormat="1" ht="15" customHeight="1" x14ac:dyDescent="0.2">
      <c r="A18" s="322"/>
      <c r="B18" s="386"/>
      <c r="C18" s="386"/>
      <c r="D18" s="329"/>
      <c r="E18" s="332"/>
      <c r="F18" s="376"/>
      <c r="G18" s="380"/>
      <c r="H18" s="310"/>
      <c r="I18" s="312"/>
      <c r="J18" s="118" t="s">
        <v>99</v>
      </c>
      <c r="K18" s="38">
        <f>K16*0.5</f>
        <v>5.5555555555555282E-2</v>
      </c>
      <c r="L18" s="312"/>
      <c r="M18" s="305"/>
    </row>
    <row r="19" spans="1:13" s="46" customFormat="1" ht="15" customHeight="1" x14ac:dyDescent="0.2">
      <c r="A19" s="322"/>
      <c r="B19" s="386"/>
      <c r="C19" s="386"/>
      <c r="D19" s="329"/>
      <c r="E19" s="332"/>
      <c r="F19" s="376"/>
      <c r="G19" s="380"/>
      <c r="H19" s="310"/>
      <c r="I19" s="312"/>
      <c r="J19" s="118" t="s">
        <v>100</v>
      </c>
      <c r="K19" s="38">
        <f>K16*0.25</f>
        <v>2.7777777777777641E-2</v>
      </c>
      <c r="L19" s="312"/>
      <c r="M19" s="305"/>
    </row>
    <row r="20" spans="1:13" s="46" customFormat="1" ht="105" customHeight="1" thickBot="1" x14ac:dyDescent="0.25">
      <c r="A20" s="323"/>
      <c r="B20" s="387"/>
      <c r="C20" s="387"/>
      <c r="D20" s="330"/>
      <c r="E20" s="333"/>
      <c r="F20" s="388"/>
      <c r="G20" s="380"/>
      <c r="H20" s="310"/>
      <c r="I20" s="312"/>
      <c r="J20" s="118"/>
      <c r="K20" s="38"/>
      <c r="L20" s="312"/>
      <c r="M20" s="305"/>
    </row>
    <row r="21" spans="1:13" s="29" customFormat="1" ht="32.25" customHeight="1" x14ac:dyDescent="0.2">
      <c r="A21" s="337">
        <v>2</v>
      </c>
      <c r="B21" s="381" t="s">
        <v>101</v>
      </c>
      <c r="C21" s="383" t="s">
        <v>102</v>
      </c>
      <c r="D21" s="328"/>
      <c r="E21" s="340"/>
      <c r="F21" s="375"/>
      <c r="G21" s="377" t="s">
        <v>72</v>
      </c>
      <c r="H21" s="309">
        <f>IF(G21='Response Guidelines'!$D$80,'Response Guidelines'!$C$80, IF(G21='Response Guidelines'!$D$81,'Response Guidelines'!$C$81,IF(G21='Response Guidelines'!$D$82,'Response Guidelines'!$C$82,IF(G21='Response Guidelines'!$D$83,'Response Guidelines'!$C$83,IF(G21='Response Guidelines'!$D$84,'Response Guidelines'!$C$84,IF(G21='Response Guidelines'!$D$85,'Response Guidelines'!$C$85,IF(G21='Response Guidelines'!$D$86,'Response Guidelines'!$C$86,"No Rating")))))))</f>
        <v>4</v>
      </c>
      <c r="I21" s="311">
        <f>(H21/$H$26)/_xlfn.XLOOKUP('Scoring Summary'!$D$14,'Response Guidelines'!$D$91:$D$190,'Response Guidelines'!$C$91:$C$190,"",0,1)</f>
        <v>8.8888888888888448E-2</v>
      </c>
      <c r="J21" s="130" t="s">
        <v>103</v>
      </c>
      <c r="K21" s="38">
        <f>I21</f>
        <v>8.8888888888888448E-2</v>
      </c>
      <c r="L21" s="312"/>
      <c r="M21" s="305"/>
    </row>
    <row r="22" spans="1:13" s="29" customFormat="1" ht="21" customHeight="1" x14ac:dyDescent="0.2">
      <c r="A22" s="337"/>
      <c r="B22" s="382"/>
      <c r="C22" s="384"/>
      <c r="D22" s="329"/>
      <c r="E22" s="332"/>
      <c r="F22" s="376"/>
      <c r="G22" s="378"/>
      <c r="H22" s="310"/>
      <c r="I22" s="312"/>
      <c r="J22" s="118" t="s">
        <v>104</v>
      </c>
      <c r="K22" s="38">
        <f>K21*8</f>
        <v>0.71111111111110759</v>
      </c>
      <c r="L22" s="312"/>
      <c r="M22" s="305"/>
    </row>
    <row r="23" spans="1:13" s="29" customFormat="1" ht="10" x14ac:dyDescent="0.2">
      <c r="A23" s="337"/>
      <c r="B23" s="382"/>
      <c r="C23" s="384"/>
      <c r="D23" s="329"/>
      <c r="E23" s="332"/>
      <c r="F23" s="376"/>
      <c r="G23" s="378"/>
      <c r="H23" s="310"/>
      <c r="I23" s="312"/>
      <c r="J23" s="118" t="s">
        <v>105</v>
      </c>
      <c r="K23" s="38">
        <f>K21*0.6</f>
        <v>5.3333333333333066E-2</v>
      </c>
      <c r="L23" s="312"/>
      <c r="M23" s="305"/>
    </row>
    <row r="24" spans="1:13" s="29" customFormat="1" ht="21" customHeight="1" x14ac:dyDescent="0.2">
      <c r="A24" s="337"/>
      <c r="B24" s="382"/>
      <c r="C24" s="384"/>
      <c r="D24" s="329"/>
      <c r="E24" s="332"/>
      <c r="F24" s="376"/>
      <c r="G24" s="378"/>
      <c r="H24" s="310"/>
      <c r="I24" s="312"/>
      <c r="J24" s="136" t="s">
        <v>106</v>
      </c>
      <c r="K24" s="38">
        <f>K21*0.4</f>
        <v>3.5555555555555382E-2</v>
      </c>
      <c r="L24" s="312"/>
      <c r="M24" s="305"/>
    </row>
    <row r="25" spans="1:13" s="29" customFormat="1" ht="15" customHeight="1" x14ac:dyDescent="0.2">
      <c r="A25" s="337"/>
      <c r="B25" s="382"/>
      <c r="C25" s="384"/>
      <c r="D25" s="329"/>
      <c r="E25" s="332"/>
      <c r="F25" s="376"/>
      <c r="G25" s="378"/>
      <c r="H25" s="310"/>
      <c r="I25" s="312"/>
      <c r="J25" s="119" t="s">
        <v>107</v>
      </c>
      <c r="K25" s="38">
        <f>K21*0.2</f>
        <v>1.7777777777777691E-2</v>
      </c>
      <c r="L25" s="312"/>
      <c r="M25" s="305"/>
    </row>
    <row r="26" spans="1:13" x14ac:dyDescent="0.2">
      <c r="A26" s="35"/>
      <c r="B26" s="34" t="s">
        <v>43</v>
      </c>
      <c r="C26" s="34"/>
      <c r="D26" s="34"/>
      <c r="E26" s="34"/>
      <c r="F26" s="34"/>
      <c r="G26" s="34"/>
      <c r="H26" s="33">
        <f>SUM(H16:H25)</f>
        <v>9</v>
      </c>
      <c r="I26" s="32">
        <f>SUM(I16:I25)</f>
        <v>0.19999999999999901</v>
      </c>
      <c r="J26" s="302" t="s">
        <v>44</v>
      </c>
      <c r="K26" s="303"/>
      <c r="L26" s="31">
        <f>SUM(L16:L25)</f>
        <v>0</v>
      </c>
      <c r="M26" s="30"/>
    </row>
  </sheetData>
  <mergeCells count="27">
    <mergeCell ref="A14:A15"/>
    <mergeCell ref="B14:C14"/>
    <mergeCell ref="D14:F14"/>
    <mergeCell ref="A16:A20"/>
    <mergeCell ref="B16:B20"/>
    <mergeCell ref="C16:C20"/>
    <mergeCell ref="D16:D20"/>
    <mergeCell ref="E16:E20"/>
    <mergeCell ref="F16:F20"/>
    <mergeCell ref="A21:A25"/>
    <mergeCell ref="B21:B25"/>
    <mergeCell ref="C21:C25"/>
    <mergeCell ref="D21:D25"/>
    <mergeCell ref="E21:E25"/>
    <mergeCell ref="L16:L20"/>
    <mergeCell ref="M16:M20"/>
    <mergeCell ref="G21:G25"/>
    <mergeCell ref="H21:H25"/>
    <mergeCell ref="I21:I25"/>
    <mergeCell ref="L21:L25"/>
    <mergeCell ref="M21:M25"/>
    <mergeCell ref="G16:G20"/>
    <mergeCell ref="F21:F25"/>
    <mergeCell ref="E2:G3"/>
    <mergeCell ref="H16:H20"/>
    <mergeCell ref="J26:K26"/>
    <mergeCell ref="I16:I20"/>
  </mergeCells>
  <dataValidations count="2">
    <dataValidation type="list" allowBlank="1" showInputMessage="1" showErrorMessage="1" sqref="D16:D20" xr:uid="{00000000-0002-0000-0300-000003000000}">
      <formula1>$J$16:$J$20</formula1>
    </dataValidation>
    <dataValidation type="list" allowBlank="1" showInputMessage="1" showErrorMessage="1" sqref="D21:D25" xr:uid="{00000000-0002-0000-0300-000002000000}">
      <formula1>$J$21:$J$25</formula1>
    </dataValidation>
  </dataValidations>
  <pageMargins left="0.25" right="0.25" top="0.75" bottom="0.75" header="0.3" footer="0.3"/>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C000000}">
          <x14:formula1>
            <xm:f>'Response Guidelines'!$D$80:$D$86</xm:f>
          </x14:formula1>
          <xm:sqref>G16:G25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3896"/>
    <pageSetUpPr fitToPage="1"/>
  </sheetPr>
  <dimension ref="A1:M127"/>
  <sheetViews>
    <sheetView zoomScale="110" zoomScaleNormal="110" workbookViewId="0">
      <selection activeCell="H4" sqref="H4"/>
    </sheetView>
  </sheetViews>
  <sheetFormatPr defaultColWidth="9.1796875" defaultRowHeight="10.5" x14ac:dyDescent="0.25"/>
  <cols>
    <col min="1" max="1" width="3.1796875" style="19" bestFit="1" customWidth="1"/>
    <col min="2" max="2" width="37.1796875" style="18" customWidth="1"/>
    <col min="3" max="3" width="42.54296875" style="18" customWidth="1"/>
    <col min="4" max="4" width="14.1796875" style="18" customWidth="1"/>
    <col min="5" max="5" width="18.453125" style="18" customWidth="1"/>
    <col min="6" max="6" width="15" style="18" customWidth="1"/>
    <col min="7" max="7" width="11.453125" style="18" customWidth="1"/>
    <col min="8" max="8" width="5.1796875" style="18" customWidth="1"/>
    <col min="9" max="9" width="5.54296875" style="17" customWidth="1"/>
    <col min="10" max="10" width="26" style="16" customWidth="1"/>
    <col min="11" max="11" width="6.81640625" style="15" bestFit="1" customWidth="1"/>
    <col min="12" max="12" width="5.453125" style="13" customWidth="1"/>
    <col min="13" max="13" width="40.453125" style="14" customWidth="1"/>
    <col min="14" max="14" width="8.54296875" style="13" customWidth="1"/>
    <col min="15" max="16384" width="9.1796875" style="13"/>
  </cols>
  <sheetData>
    <row r="1" spans="1:13" x14ac:dyDescent="0.25">
      <c r="B1" s="64"/>
      <c r="C1" s="64"/>
      <c r="D1" s="64"/>
      <c r="E1" s="64"/>
      <c r="F1" s="64"/>
      <c r="G1" s="64"/>
      <c r="H1" s="64"/>
    </row>
    <row r="2" spans="1:13" ht="16.399999999999999" customHeight="1" x14ac:dyDescent="0.35">
      <c r="B2" s="11" t="s">
        <v>77</v>
      </c>
      <c r="C2" s="12" t="str">
        <f>'Scoring Summary'!C2</f>
        <v>&lt;insert before tender publication&gt;</v>
      </c>
      <c r="D2" s="26"/>
      <c r="E2" s="374" t="s">
        <v>108</v>
      </c>
      <c r="F2" s="374"/>
      <c r="G2" s="374"/>
      <c r="H2" s="63"/>
      <c r="I2" s="63"/>
      <c r="J2" s="26"/>
      <c r="K2" s="26"/>
      <c r="L2" s="26"/>
      <c r="M2" s="26"/>
    </row>
    <row r="3" spans="1:13" ht="16.399999999999999" customHeight="1" x14ac:dyDescent="0.35">
      <c r="B3" s="11" t="s">
        <v>80</v>
      </c>
      <c r="C3" s="12" t="str">
        <f>'Scoring Summary'!C3</f>
        <v>Feeder Balancing Module</v>
      </c>
      <c r="D3" s="26"/>
      <c r="E3" s="73" t="s">
        <v>109</v>
      </c>
      <c r="F3" s="63" t="s">
        <v>53</v>
      </c>
      <c r="G3" s="63"/>
      <c r="H3" s="26"/>
      <c r="I3" s="26"/>
      <c r="J3" s="26"/>
      <c r="K3" s="26"/>
      <c r="L3" s="26"/>
      <c r="M3" s="26"/>
    </row>
    <row r="4" spans="1:13" ht="14.5" customHeight="1" x14ac:dyDescent="0.35">
      <c r="B4" s="11" t="s">
        <v>94</v>
      </c>
      <c r="C4" s="10" t="str">
        <f>'Scoring Summary'!C4</f>
        <v>&lt;Evaluator to complete&gt;</v>
      </c>
      <c r="D4" s="26"/>
      <c r="E4" s="63"/>
      <c r="F4" s="63"/>
      <c r="G4" s="63"/>
      <c r="H4" s="26"/>
      <c r="I4" s="26"/>
      <c r="J4" s="26"/>
      <c r="K4" s="26"/>
      <c r="L4" s="26"/>
      <c r="M4" s="26"/>
    </row>
    <row r="5" spans="1:13" ht="14.5" customHeight="1" x14ac:dyDescent="0.35">
      <c r="B5" s="11" t="s">
        <v>83</v>
      </c>
      <c r="C5" s="10" t="str">
        <f>'Scoring Summary'!C5</f>
        <v>&lt;Evaluator to complete&gt;</v>
      </c>
      <c r="D5" s="26"/>
      <c r="E5" s="26"/>
      <c r="F5" s="26"/>
      <c r="G5" s="26"/>
      <c r="H5" s="26"/>
      <c r="I5" s="26"/>
      <c r="J5" s="26"/>
      <c r="K5" s="26"/>
      <c r="L5" s="26"/>
      <c r="M5" s="26"/>
    </row>
    <row r="6" spans="1:13" ht="14.5" customHeight="1" x14ac:dyDescent="0.35">
      <c r="B6" s="11" t="s">
        <v>84</v>
      </c>
      <c r="C6" s="10" t="str">
        <f>'Scoring Summary'!C6</f>
        <v>&lt;Evaluator to complete&gt;</v>
      </c>
      <c r="D6" s="26"/>
      <c r="E6" s="26"/>
      <c r="F6" s="26"/>
      <c r="G6" s="26"/>
      <c r="H6" s="26"/>
      <c r="I6" s="26"/>
      <c r="J6" s="26"/>
      <c r="K6" s="26"/>
      <c r="L6" s="26"/>
      <c r="M6" s="26"/>
    </row>
    <row r="7" spans="1:13" ht="27.65" customHeight="1" x14ac:dyDescent="0.35">
      <c r="B7" s="11" t="s">
        <v>85</v>
      </c>
      <c r="C7" s="10"/>
      <c r="D7" s="26"/>
      <c r="E7" s="26"/>
      <c r="F7" s="26"/>
      <c r="G7" s="26"/>
      <c r="H7" s="26"/>
      <c r="I7" s="26"/>
      <c r="J7" s="26"/>
      <c r="K7" s="26"/>
      <c r="L7" s="26"/>
      <c r="M7" s="26"/>
    </row>
    <row r="8" spans="1:13" ht="6.65" customHeight="1" x14ac:dyDescent="0.35">
      <c r="B8" s="98"/>
      <c r="C8" s="99"/>
      <c r="D8" s="26"/>
      <c r="E8" s="26"/>
      <c r="F8" s="26"/>
      <c r="G8" s="26"/>
      <c r="H8" s="26"/>
      <c r="I8" s="26"/>
      <c r="J8" s="26"/>
      <c r="K8" s="26"/>
      <c r="L8" s="26"/>
      <c r="M8" s="26"/>
    </row>
    <row r="9" spans="1:13" x14ac:dyDescent="0.25">
      <c r="B9" s="25"/>
      <c r="C9" s="25"/>
      <c r="D9" s="25"/>
      <c r="E9" s="25"/>
      <c r="F9" s="25"/>
      <c r="G9" s="25"/>
      <c r="H9" s="25"/>
    </row>
    <row r="10" spans="1:13" ht="14.5" customHeight="1" x14ac:dyDescent="0.2">
      <c r="A10" s="315" t="s">
        <v>14</v>
      </c>
      <c r="B10" s="317" t="s">
        <v>15</v>
      </c>
      <c r="C10" s="318"/>
      <c r="D10" s="319" t="s">
        <v>16</v>
      </c>
      <c r="E10" s="320"/>
      <c r="F10" s="320"/>
      <c r="G10" s="244"/>
      <c r="H10" s="245"/>
      <c r="I10" s="246" t="s">
        <v>17</v>
      </c>
      <c r="J10" s="247"/>
      <c r="K10" s="247"/>
      <c r="L10" s="247"/>
      <c r="M10" s="248"/>
    </row>
    <row r="11" spans="1:13" s="29" customFormat="1" ht="58.4" customHeight="1" x14ac:dyDescent="0.35">
      <c r="A11" s="596"/>
      <c r="B11" s="187" t="s">
        <v>18</v>
      </c>
      <c r="C11" s="57" t="s">
        <v>19</v>
      </c>
      <c r="D11" s="125" t="s">
        <v>20</v>
      </c>
      <c r="E11" s="174" t="s">
        <v>21</v>
      </c>
      <c r="F11" s="174" t="s">
        <v>22</v>
      </c>
      <c r="G11" s="249" t="s">
        <v>23</v>
      </c>
      <c r="H11" s="181" t="s">
        <v>24</v>
      </c>
      <c r="I11" s="124" t="s">
        <v>25</v>
      </c>
      <c r="J11" s="182" t="s">
        <v>26</v>
      </c>
      <c r="K11" s="183" t="s">
        <v>27</v>
      </c>
      <c r="L11" s="184" t="s">
        <v>28</v>
      </c>
      <c r="M11" s="252" t="s">
        <v>29</v>
      </c>
    </row>
    <row r="12" spans="1:13" s="29" customFormat="1" ht="20" x14ac:dyDescent="0.35">
      <c r="A12" s="597">
        <v>1</v>
      </c>
      <c r="B12" s="600" t="s">
        <v>110</v>
      </c>
      <c r="C12" s="519" t="s">
        <v>111</v>
      </c>
      <c r="D12" s="579"/>
      <c r="E12" s="580"/>
      <c r="F12" s="592"/>
      <c r="G12" s="511" t="s">
        <v>73</v>
      </c>
      <c r="H12" s="423">
        <f>IF(G12='Response Guidelines'!$D$80,'Response Guidelines'!$C$80, IF(G12='Response Guidelines'!$D$81,'Response Guidelines'!$C$81,IF(G12='Response Guidelines'!$D$82,'Response Guidelines'!$C$82,IF(G12='Response Guidelines'!$D$83,'Response Guidelines'!$C$83,IF(G12='Response Guidelines'!$D$84,'Response Guidelines'!$C$84,IF(G12='Response Guidelines'!$D$85,'Response Guidelines'!$C$85,IF(G12='Response Guidelines'!$D$86,'Response Guidelines'!$C$86,"No Rating")))))))</f>
        <v>5</v>
      </c>
      <c r="I12" s="425">
        <f>(H12/$H$127)/_xlfn.XLOOKUP('Scoring Summary'!$D$15,'Response Guidelines'!$D$91:$D$190,'Response Guidelines'!$C$91:$C$190,"",0,1)</f>
        <v>1.5202702702702704E-2</v>
      </c>
      <c r="J12" s="188" t="s">
        <v>112</v>
      </c>
      <c r="K12" s="176">
        <f>I12</f>
        <v>1.5202702702702704E-2</v>
      </c>
      <c r="L12" s="496"/>
      <c r="M12" s="519"/>
    </row>
    <row r="13" spans="1:13" s="29" customFormat="1" ht="10" x14ac:dyDescent="0.35">
      <c r="A13" s="598"/>
      <c r="B13" s="601"/>
      <c r="C13" s="520"/>
      <c r="D13" s="456"/>
      <c r="E13" s="332"/>
      <c r="F13" s="334"/>
      <c r="G13" s="507"/>
      <c r="H13" s="310"/>
      <c r="I13" s="312"/>
      <c r="J13" s="39" t="s">
        <v>113</v>
      </c>
      <c r="K13" s="38">
        <f>I12/2</f>
        <v>7.6013513513513518E-3</v>
      </c>
      <c r="L13" s="304"/>
      <c r="M13" s="520"/>
    </row>
    <row r="14" spans="1:13" s="29" customFormat="1" ht="20" x14ac:dyDescent="0.35">
      <c r="A14" s="598"/>
      <c r="B14" s="601"/>
      <c r="C14" s="520"/>
      <c r="D14" s="456"/>
      <c r="E14" s="332"/>
      <c r="F14" s="334"/>
      <c r="G14" s="507"/>
      <c r="H14" s="310"/>
      <c r="I14" s="312"/>
      <c r="J14" s="45" t="s">
        <v>114</v>
      </c>
      <c r="K14" s="38">
        <f>I12/2</f>
        <v>7.6013513513513518E-3</v>
      </c>
      <c r="L14" s="304"/>
      <c r="M14" s="520"/>
    </row>
    <row r="15" spans="1:13" s="29" customFormat="1" ht="217.5" customHeight="1" x14ac:dyDescent="0.35">
      <c r="A15" s="599"/>
      <c r="B15" s="602"/>
      <c r="C15" s="521"/>
      <c r="D15" s="457"/>
      <c r="E15" s="458"/>
      <c r="F15" s="530"/>
      <c r="G15" s="512"/>
      <c r="H15" s="424"/>
      <c r="I15" s="426"/>
      <c r="J15" s="217" t="s">
        <v>115</v>
      </c>
      <c r="K15" s="178">
        <v>0</v>
      </c>
      <c r="L15" s="497"/>
      <c r="M15" s="521"/>
    </row>
    <row r="16" spans="1:13" s="29" customFormat="1" ht="54.75" customHeight="1" x14ac:dyDescent="0.35">
      <c r="A16" s="581">
        <v>2</v>
      </c>
      <c r="B16" s="533" t="s">
        <v>116</v>
      </c>
      <c r="C16" s="594" t="s">
        <v>117</v>
      </c>
      <c r="D16" s="432"/>
      <c r="E16" s="433"/>
      <c r="F16" s="431"/>
      <c r="G16" s="501" t="s">
        <v>72</v>
      </c>
      <c r="H16" s="310">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4</v>
      </c>
      <c r="I16" s="311">
        <f>(H16/$H$127)/_xlfn.XLOOKUP('Scoring Summary'!$D$15,'Response Guidelines'!$D$91:$D$190,'Response Guidelines'!$C$91:$C$190,"",0,1)</f>
        <v>1.2162162162162163E-2</v>
      </c>
      <c r="J16" s="43" t="s">
        <v>118</v>
      </c>
      <c r="K16" s="42">
        <f>I16</f>
        <v>1.2162162162162163E-2</v>
      </c>
      <c r="L16" s="313"/>
      <c r="M16" s="509"/>
    </row>
    <row r="17" spans="1:13" s="29" customFormat="1" ht="54.75" customHeight="1" x14ac:dyDescent="0.35">
      <c r="A17" s="575"/>
      <c r="B17" s="532"/>
      <c r="C17" s="595"/>
      <c r="D17" s="432"/>
      <c r="E17" s="433"/>
      <c r="F17" s="431"/>
      <c r="G17" s="502"/>
      <c r="H17" s="310"/>
      <c r="I17" s="450"/>
      <c r="J17" s="109" t="s">
        <v>119</v>
      </c>
      <c r="K17" s="40">
        <f>0</f>
        <v>0</v>
      </c>
      <c r="L17" s="508"/>
      <c r="M17" s="510"/>
    </row>
    <row r="18" spans="1:13" s="29" customFormat="1" ht="41.25" customHeight="1" x14ac:dyDescent="0.35">
      <c r="A18" s="564">
        <v>3</v>
      </c>
      <c r="B18" s="593" t="s">
        <v>120</v>
      </c>
      <c r="C18" s="603" t="s">
        <v>121</v>
      </c>
      <c r="D18" s="492"/>
      <c r="E18" s="494"/>
      <c r="F18" s="459"/>
      <c r="G18" s="511" t="s">
        <v>72</v>
      </c>
      <c r="H18" s="423">
        <f>IF(G18='Response Guidelines'!$D$80,'Response Guidelines'!$C$80, IF(G18='Response Guidelines'!$D$81,'Response Guidelines'!$C$81,IF(G18='Response Guidelines'!$D$82,'Response Guidelines'!$C$82,IF(G18='Response Guidelines'!$D$83,'Response Guidelines'!$C$83,IF(G18='Response Guidelines'!$D$84,'Response Guidelines'!$C$84,IF(G18='Response Guidelines'!$D$85,'Response Guidelines'!$C$85,IF(G18='Response Guidelines'!$D$86,'Response Guidelines'!$C$86,"No Rating")))))))</f>
        <v>4</v>
      </c>
      <c r="I18" s="425">
        <f>(H18/$H$127)/_xlfn.XLOOKUP('Scoring Summary'!$D$15,'Response Guidelines'!$D$91:$D$190,'Response Guidelines'!$C$91:$C$190,"",0,1)</f>
        <v>1.2162162162162163E-2</v>
      </c>
      <c r="J18" s="188" t="s">
        <v>122</v>
      </c>
      <c r="K18" s="176">
        <f>I18</f>
        <v>1.2162162162162163E-2</v>
      </c>
      <c r="L18" s="496"/>
      <c r="M18" s="453"/>
    </row>
    <row r="19" spans="1:13" s="29" customFormat="1" ht="61.5" customHeight="1" x14ac:dyDescent="0.35">
      <c r="A19" s="565"/>
      <c r="B19" s="420"/>
      <c r="C19" s="604"/>
      <c r="D19" s="493"/>
      <c r="E19" s="495"/>
      <c r="F19" s="460"/>
      <c r="G19" s="512"/>
      <c r="H19" s="424"/>
      <c r="I19" s="426"/>
      <c r="J19" s="207" t="s">
        <v>123</v>
      </c>
      <c r="K19" s="178">
        <v>0</v>
      </c>
      <c r="L19" s="497"/>
      <c r="M19" s="455"/>
    </row>
    <row r="20" spans="1:13" s="29" customFormat="1" ht="11.15" customHeight="1" x14ac:dyDescent="0.35">
      <c r="A20" s="581">
        <v>4</v>
      </c>
      <c r="B20" s="583" t="s">
        <v>124</v>
      </c>
      <c r="C20" s="578" t="s">
        <v>125</v>
      </c>
      <c r="D20" s="584"/>
      <c r="E20" s="441"/>
      <c r="F20" s="556"/>
      <c r="G20" s="488" t="s">
        <v>72</v>
      </c>
      <c r="H20" s="586">
        <f>IF(G20='Response Guidelines'!$D$80,'Response Guidelines'!$C$80, IF(G20='Response Guidelines'!$D$81,'Response Guidelines'!$C$81,IF(G20='Response Guidelines'!$D$82,'Response Guidelines'!$C$82,IF(G20='Response Guidelines'!$D$83,'Response Guidelines'!$C$83,IF(G20='Response Guidelines'!$D$84,'Response Guidelines'!$C$84,IF(G20='Response Guidelines'!$D$85,'Response Guidelines'!$C$85,IF(G20='Response Guidelines'!$D$86,'Response Guidelines'!$C$86,"No Rating")))))))</f>
        <v>4</v>
      </c>
      <c r="I20" s="588">
        <f>(H20/$H$127)/_xlfn.XLOOKUP('Scoring Summary'!$D$15,'Response Guidelines'!$D$91:$D$190,'Response Guidelines'!$C$91:$C$190,"",0,1)</f>
        <v>1.2162162162162163E-2</v>
      </c>
      <c r="J20" s="126" t="s">
        <v>126</v>
      </c>
      <c r="K20" s="42">
        <f>I20</f>
        <v>1.2162162162162163E-2</v>
      </c>
      <c r="L20" s="590"/>
      <c r="M20" s="509"/>
    </row>
    <row r="21" spans="1:13" s="29" customFormat="1" ht="11.15" customHeight="1" x14ac:dyDescent="0.35">
      <c r="A21" s="582"/>
      <c r="B21" s="419"/>
      <c r="C21" s="578"/>
      <c r="D21" s="584"/>
      <c r="E21" s="442"/>
      <c r="F21" s="591"/>
      <c r="G21" s="489"/>
      <c r="H21" s="448"/>
      <c r="I21" s="536"/>
      <c r="J21" s="114" t="s">
        <v>127</v>
      </c>
      <c r="K21" s="38">
        <f>I20*0.75</f>
        <v>9.1216216216216221E-3</v>
      </c>
      <c r="L21" s="590"/>
      <c r="M21" s="454"/>
    </row>
    <row r="22" spans="1:13" s="29" customFormat="1" ht="11.15" customHeight="1" x14ac:dyDescent="0.35">
      <c r="A22" s="582"/>
      <c r="B22" s="419"/>
      <c r="C22" s="578"/>
      <c r="D22" s="584"/>
      <c r="E22" s="442"/>
      <c r="F22" s="591"/>
      <c r="G22" s="489"/>
      <c r="H22" s="448"/>
      <c r="I22" s="536"/>
      <c r="J22" s="114" t="s">
        <v>128</v>
      </c>
      <c r="K22" s="38">
        <f>I20*0.5</f>
        <v>6.0810810810810814E-3</v>
      </c>
      <c r="L22" s="590"/>
      <c r="M22" s="454"/>
    </row>
    <row r="23" spans="1:13" s="29" customFormat="1" ht="11.15" customHeight="1" x14ac:dyDescent="0.35">
      <c r="A23" s="582"/>
      <c r="B23" s="419"/>
      <c r="C23" s="578"/>
      <c r="D23" s="584"/>
      <c r="E23" s="442"/>
      <c r="F23" s="591"/>
      <c r="G23" s="489"/>
      <c r="H23" s="448"/>
      <c r="I23" s="536"/>
      <c r="J23" s="114" t="s">
        <v>129</v>
      </c>
      <c r="K23" s="38">
        <f>I20*0.25</f>
        <v>3.0405405405405407E-3</v>
      </c>
      <c r="L23" s="590"/>
      <c r="M23" s="454"/>
    </row>
    <row r="24" spans="1:13" s="29" customFormat="1" ht="47.25" customHeight="1" x14ac:dyDescent="0.35">
      <c r="A24" s="575"/>
      <c r="B24" s="532"/>
      <c r="C24" s="578"/>
      <c r="D24" s="584"/>
      <c r="E24" s="585"/>
      <c r="F24" s="557"/>
      <c r="G24" s="490"/>
      <c r="H24" s="587"/>
      <c r="I24" s="589"/>
      <c r="J24" s="123" t="s">
        <v>130</v>
      </c>
      <c r="K24" s="40">
        <v>0</v>
      </c>
      <c r="L24" s="590"/>
      <c r="M24" s="510"/>
    </row>
    <row r="25" spans="1:13" s="29" customFormat="1" ht="53.25" customHeight="1" x14ac:dyDescent="0.35">
      <c r="A25" s="564">
        <v>5</v>
      </c>
      <c r="B25" s="418" t="s">
        <v>131</v>
      </c>
      <c r="C25" s="577" t="s">
        <v>132</v>
      </c>
      <c r="D25" s="579"/>
      <c r="E25" s="580"/>
      <c r="F25" s="592"/>
      <c r="G25" s="511" t="s">
        <v>37</v>
      </c>
      <c r="H25" s="423">
        <f>IF(G25='Response Guidelines'!$D$80,'Response Guidelines'!$C$80, IF(G25='Response Guidelines'!$D$81,'Response Guidelines'!$C$81,IF(G25='Response Guidelines'!$D$82,'Response Guidelines'!$C$82,IF(G25='Response Guidelines'!$D$83,'Response Guidelines'!$C$83,IF(G25='Response Guidelines'!$D$84,'Response Guidelines'!$C$84,IF(G25='Response Guidelines'!$D$85,'Response Guidelines'!$C$85,IF(G25='Response Guidelines'!$D$86,'Response Guidelines'!$C$86,"No Rating")))))))</f>
        <v>6</v>
      </c>
      <c r="I25" s="425">
        <f>(H25/$H$127)/_xlfn.XLOOKUP('Scoring Summary'!$D$15,'Response Guidelines'!$D$91:$D$190,'Response Guidelines'!$C$91:$C$190,"",0,1)</f>
        <v>1.8243243243243244E-2</v>
      </c>
      <c r="J25" s="188" t="s">
        <v>133</v>
      </c>
      <c r="K25" s="176">
        <f>I25</f>
        <v>1.8243243243243244E-2</v>
      </c>
      <c r="L25" s="496"/>
      <c r="M25" s="519"/>
    </row>
    <row r="26" spans="1:13" s="29" customFormat="1" ht="57" customHeight="1" x14ac:dyDescent="0.35">
      <c r="A26" s="575"/>
      <c r="B26" s="576"/>
      <c r="C26" s="578"/>
      <c r="D26" s="456"/>
      <c r="E26" s="332"/>
      <c r="F26" s="334"/>
      <c r="G26" s="502"/>
      <c r="H26" s="310"/>
      <c r="I26" s="450"/>
      <c r="J26" s="41" t="s">
        <v>134</v>
      </c>
      <c r="K26" s="40">
        <v>0</v>
      </c>
      <c r="L26" s="508"/>
      <c r="M26" s="560"/>
    </row>
    <row r="27" spans="1:13" s="29" customFormat="1" ht="32.25" customHeight="1" x14ac:dyDescent="0.35">
      <c r="A27" s="564">
        <v>6</v>
      </c>
      <c r="B27" s="418" t="s">
        <v>135</v>
      </c>
      <c r="C27" s="453" t="s">
        <v>136</v>
      </c>
      <c r="D27" s="566"/>
      <c r="E27" s="568"/>
      <c r="F27" s="573"/>
      <c r="G27" s="569" t="s">
        <v>33</v>
      </c>
      <c r="H27" s="447">
        <f>IF(G27='Response Guidelines'!$D$80,'Response Guidelines'!$C$80, IF(G27='Response Guidelines'!$D$81,'Response Guidelines'!$C$81,IF(G27='Response Guidelines'!$D$82,'Response Guidelines'!$C$82,IF(G27='Response Guidelines'!$D$83,'Response Guidelines'!$C$83,IF(G27='Response Guidelines'!$D$84,'Response Guidelines'!$C$84,IF(G27='Response Guidelines'!$D$85,'Response Guidelines'!$C$85,IF(G27='Response Guidelines'!$D$86,'Response Guidelines'!$C$86,"No Rating")))))))</f>
        <v>3</v>
      </c>
      <c r="I27" s="571">
        <f>(H27/$H$127)/_xlfn.XLOOKUP('Scoring Summary'!$D$15,'Response Guidelines'!$D$91:$D$190,'Response Guidelines'!$C$91:$C$190,"",0,1)</f>
        <v>9.1216216216216221E-3</v>
      </c>
      <c r="J27" s="188" t="s">
        <v>137</v>
      </c>
      <c r="K27" s="176">
        <f>I27</f>
        <v>9.1216216216216221E-3</v>
      </c>
      <c r="L27" s="496"/>
      <c r="M27" s="453"/>
    </row>
    <row r="28" spans="1:13" s="29" customFormat="1" ht="46.5" customHeight="1" x14ac:dyDescent="0.35">
      <c r="A28" s="565"/>
      <c r="B28" s="420"/>
      <c r="C28" s="455"/>
      <c r="D28" s="567"/>
      <c r="E28" s="443"/>
      <c r="F28" s="574"/>
      <c r="G28" s="570"/>
      <c r="H28" s="449"/>
      <c r="I28" s="572"/>
      <c r="J28" s="207" t="s">
        <v>138</v>
      </c>
      <c r="K28" s="178">
        <v>0</v>
      </c>
      <c r="L28" s="497"/>
      <c r="M28" s="455"/>
    </row>
    <row r="29" spans="1:13" s="29" customFormat="1" ht="18.649999999999999" customHeight="1" x14ac:dyDescent="0.35">
      <c r="A29" s="561">
        <v>7</v>
      </c>
      <c r="B29" s="533" t="s">
        <v>139</v>
      </c>
      <c r="C29" s="509" t="s">
        <v>140</v>
      </c>
      <c r="D29" s="563"/>
      <c r="E29" s="433"/>
      <c r="F29" s="431"/>
      <c r="G29" s="501" t="s">
        <v>37</v>
      </c>
      <c r="H29" s="310">
        <f>IF(G29='Response Guidelines'!$D$80,'Response Guidelines'!$C$80, IF(G29='Response Guidelines'!$D$81,'Response Guidelines'!$C$81,IF(G29='Response Guidelines'!$D$82,'Response Guidelines'!$C$82,IF(G29='Response Guidelines'!$D$83,'Response Guidelines'!$C$83,IF(G29='Response Guidelines'!$D$84,'Response Guidelines'!$C$84,IF(G29='Response Guidelines'!$D$85,'Response Guidelines'!$C$85,IF(G29='Response Guidelines'!$D$86,'Response Guidelines'!$C$86,"No Rating")))))))</f>
        <v>6</v>
      </c>
      <c r="I29" s="311">
        <f>(H29/$H$127)/_xlfn.XLOOKUP('Scoring Summary'!$D$15,'Response Guidelines'!$D$91:$D$190,'Response Guidelines'!$C$91:$C$190,"",0,1)</f>
        <v>1.8243243243243244E-2</v>
      </c>
      <c r="J29" s="43" t="s">
        <v>141</v>
      </c>
      <c r="K29" s="42">
        <f>I29</f>
        <v>1.8243243243243244E-2</v>
      </c>
      <c r="L29" s="313"/>
      <c r="M29" s="509"/>
    </row>
    <row r="30" spans="1:13" s="29" customFormat="1" ht="18.649999999999999" customHeight="1" x14ac:dyDescent="0.35">
      <c r="A30" s="561"/>
      <c r="B30" s="419"/>
      <c r="C30" s="454"/>
      <c r="D30" s="432"/>
      <c r="E30" s="433"/>
      <c r="F30" s="431"/>
      <c r="G30" s="507"/>
      <c r="H30" s="310"/>
      <c r="I30" s="312"/>
      <c r="J30" s="39" t="s">
        <v>142</v>
      </c>
      <c r="K30" s="42">
        <f>I29/2</f>
        <v>9.1216216216216221E-3</v>
      </c>
      <c r="L30" s="304"/>
      <c r="M30" s="454"/>
    </row>
    <row r="31" spans="1:13" s="29" customFormat="1" ht="41.25" customHeight="1" x14ac:dyDescent="0.35">
      <c r="A31" s="562"/>
      <c r="B31" s="420"/>
      <c r="C31" s="455"/>
      <c r="D31" s="493"/>
      <c r="E31" s="495"/>
      <c r="F31" s="460"/>
      <c r="G31" s="512"/>
      <c r="H31" s="424"/>
      <c r="I31" s="426"/>
      <c r="J31" s="207" t="s">
        <v>143</v>
      </c>
      <c r="K31" s="178">
        <v>0</v>
      </c>
      <c r="L31" s="497"/>
      <c r="M31" s="455"/>
    </row>
    <row r="32" spans="1:13" s="29" customFormat="1" ht="11.15" customHeight="1" x14ac:dyDescent="0.35">
      <c r="A32" s="581">
        <v>8</v>
      </c>
      <c r="B32" s="533" t="s">
        <v>144</v>
      </c>
      <c r="C32" s="509" t="s">
        <v>145</v>
      </c>
      <c r="D32" s="605"/>
      <c r="E32" s="441"/>
      <c r="F32" s="556"/>
      <c r="G32" s="501" t="s">
        <v>73</v>
      </c>
      <c r="H32" s="310">
        <f>IF(G32='Response Guidelines'!$D$80,'Response Guidelines'!$C$80, IF(G32='Response Guidelines'!$D$81,'Response Guidelines'!$C$81,IF(G32='Response Guidelines'!$D$82,'Response Guidelines'!$C$82,IF(G32='Response Guidelines'!$D$83,'Response Guidelines'!$C$83,IF(G32='Response Guidelines'!$D$84,'Response Guidelines'!$C$84,IF(G32='Response Guidelines'!$D$85,'Response Guidelines'!$C$85,IF(G32='Response Guidelines'!$D$86,'Response Guidelines'!$C$86,"No Rating")))))))</f>
        <v>5</v>
      </c>
      <c r="I32" s="311">
        <f>(H32/$H$127)/_xlfn.XLOOKUP('Scoring Summary'!$D$15,'Response Guidelines'!$D$91:$D$190,'Response Guidelines'!$C$91:$C$190,"",0,1)</f>
        <v>1.5202702702702704E-2</v>
      </c>
      <c r="J32" s="43" t="s">
        <v>146</v>
      </c>
      <c r="K32" s="42">
        <f>I32</f>
        <v>1.5202702702702704E-2</v>
      </c>
      <c r="L32" s="313"/>
      <c r="M32" s="509"/>
    </row>
    <row r="33" spans="1:13" s="29" customFormat="1" ht="107.25" customHeight="1" x14ac:dyDescent="0.35">
      <c r="A33" s="575"/>
      <c r="B33" s="532"/>
      <c r="C33" s="510"/>
      <c r="D33" s="606"/>
      <c r="E33" s="585"/>
      <c r="F33" s="557"/>
      <c r="G33" s="502"/>
      <c r="H33" s="310"/>
      <c r="I33" s="450"/>
      <c r="J33" s="41" t="s">
        <v>147</v>
      </c>
      <c r="K33" s="161">
        <v>0</v>
      </c>
      <c r="L33" s="508"/>
      <c r="M33" s="510"/>
    </row>
    <row r="34" spans="1:13" s="29" customFormat="1" ht="45.75" customHeight="1" x14ac:dyDescent="0.35">
      <c r="A34" s="564">
        <v>9</v>
      </c>
      <c r="B34" s="418" t="s">
        <v>148</v>
      </c>
      <c r="C34" s="453" t="s">
        <v>149</v>
      </c>
      <c r="D34" s="504"/>
      <c r="E34" s="494"/>
      <c r="F34" s="459"/>
      <c r="G34" s="513" t="s">
        <v>37</v>
      </c>
      <c r="H34" s="423">
        <f>IF(G34='Response Guidelines'!$D$80,'Response Guidelines'!$C$80, IF(G34='Response Guidelines'!$D$81,'Response Guidelines'!$C$81,IF(G34='Response Guidelines'!$D$82,'Response Guidelines'!$C$82,IF(G34='Response Guidelines'!$D$83,'Response Guidelines'!$C$83,IF(G34='Response Guidelines'!$D$84,'Response Guidelines'!$C$84,IF(G34='Response Guidelines'!$D$85,'Response Guidelines'!$C$85,IF(G34='Response Guidelines'!$D$86,'Response Guidelines'!$C$86,"No Rating")))))))</f>
        <v>6</v>
      </c>
      <c r="I34" s="425">
        <f>(H34/$H$127)/_xlfn.XLOOKUP('Scoring Summary'!$D$15,'Response Guidelines'!$D$91:$D$190,'Response Guidelines'!$C$91:$C$190,"",0,1)</f>
        <v>1.8243243243243244E-2</v>
      </c>
      <c r="J34" s="188" t="s">
        <v>150</v>
      </c>
      <c r="K34" s="176">
        <f>I34</f>
        <v>1.8243243243243244E-2</v>
      </c>
      <c r="L34" s="496"/>
      <c r="M34" s="453"/>
    </row>
    <row r="35" spans="1:13" s="29" customFormat="1" ht="39" customHeight="1" x14ac:dyDescent="0.35">
      <c r="A35" s="565"/>
      <c r="B35" s="420"/>
      <c r="C35" s="455"/>
      <c r="D35" s="493"/>
      <c r="E35" s="495"/>
      <c r="F35" s="460"/>
      <c r="G35" s="515"/>
      <c r="H35" s="424"/>
      <c r="I35" s="426"/>
      <c r="J35" s="207" t="s">
        <v>151</v>
      </c>
      <c r="K35" s="178">
        <v>0</v>
      </c>
      <c r="L35" s="497"/>
      <c r="M35" s="455"/>
    </row>
    <row r="36" spans="1:13" s="29" customFormat="1" ht="34.5" customHeight="1" x14ac:dyDescent="0.35">
      <c r="A36" s="581">
        <v>10</v>
      </c>
      <c r="B36" s="533" t="s">
        <v>152</v>
      </c>
      <c r="C36" s="509" t="s">
        <v>153</v>
      </c>
      <c r="D36" s="432"/>
      <c r="E36" s="433"/>
      <c r="F36" s="431"/>
      <c r="G36" s="501" t="s">
        <v>72</v>
      </c>
      <c r="H36" s="310">
        <f>IF(G36='Response Guidelines'!$D$80,'Response Guidelines'!$C$80, IF(G36='Response Guidelines'!$D$81,'Response Guidelines'!$C$81,IF(G36='Response Guidelines'!$D$82,'Response Guidelines'!$C$82,IF(G36='Response Guidelines'!$D$83,'Response Guidelines'!$C$83,IF(G36='Response Guidelines'!$D$84,'Response Guidelines'!$C$84,IF(G36='Response Guidelines'!$D$85,'Response Guidelines'!$C$85,IF(G36='Response Guidelines'!$D$86,'Response Guidelines'!$C$86,"No Rating")))))))</f>
        <v>4</v>
      </c>
      <c r="I36" s="311">
        <f>(H36/$H$127)/_xlfn.XLOOKUP('Scoring Summary'!$D$15,'Response Guidelines'!$D$91:$D$190,'Response Guidelines'!$C$91:$C$190,"",0,1)</f>
        <v>1.2162162162162163E-2</v>
      </c>
      <c r="J36" s="43" t="s">
        <v>154</v>
      </c>
      <c r="K36" s="42">
        <f>I36</f>
        <v>1.2162162162162163E-2</v>
      </c>
      <c r="L36" s="313"/>
      <c r="M36" s="509"/>
    </row>
    <row r="37" spans="1:13" s="29" customFormat="1" ht="48" customHeight="1" x14ac:dyDescent="0.35">
      <c r="A37" s="575"/>
      <c r="B37" s="532"/>
      <c r="C37" s="510"/>
      <c r="D37" s="432"/>
      <c r="E37" s="433"/>
      <c r="F37" s="431"/>
      <c r="G37" s="502"/>
      <c r="H37" s="310"/>
      <c r="I37" s="450"/>
      <c r="J37" s="41" t="s">
        <v>155</v>
      </c>
      <c r="K37" s="40">
        <v>0</v>
      </c>
      <c r="L37" s="508"/>
      <c r="M37" s="510"/>
    </row>
    <row r="38" spans="1:13" s="29" customFormat="1" ht="29.25" customHeight="1" x14ac:dyDescent="0.35">
      <c r="A38" s="622">
        <v>11</v>
      </c>
      <c r="B38" s="421" t="s">
        <v>156</v>
      </c>
      <c r="C38" s="552" t="s">
        <v>157</v>
      </c>
      <c r="D38" s="554"/>
      <c r="E38" s="555"/>
      <c r="F38" s="427"/>
      <c r="G38" s="429" t="s">
        <v>37</v>
      </c>
      <c r="H38" s="463">
        <f>IF(G38='Response Guidelines'!$D$80,'Response Guidelines'!$C$80, IF(G38='Response Guidelines'!$D$81,'Response Guidelines'!$C$81,IF(G38='Response Guidelines'!$D$82,'Response Guidelines'!$C$82,IF(G38='Response Guidelines'!$D$83,'Response Guidelines'!$C$83,IF(G38='Response Guidelines'!$D$84,'Response Guidelines'!$C$84,IF(G38='Response Guidelines'!$D$85,'Response Guidelines'!$C$85,IF(G38='Response Guidelines'!$D$86,'Response Guidelines'!$C$86,"No Rating")))))))</f>
        <v>6</v>
      </c>
      <c r="I38" s="550">
        <f>(H38/$H$127)/_xlfn.XLOOKUP('Scoring Summary'!$D$15,'Response Guidelines'!$D$91:$D$190,'Response Guidelines'!$C$91:$C$190,"",0,1)</f>
        <v>1.8243243243243244E-2</v>
      </c>
      <c r="J38" s="254" t="s">
        <v>158</v>
      </c>
      <c r="K38" s="255">
        <f>I38</f>
        <v>1.8243243243243244E-2</v>
      </c>
      <c r="L38" s="558"/>
      <c r="M38" s="505"/>
    </row>
    <row r="39" spans="1:13" s="29" customFormat="1" ht="62.25" customHeight="1" x14ac:dyDescent="0.35">
      <c r="A39" s="623"/>
      <c r="B39" s="422"/>
      <c r="C39" s="553"/>
      <c r="D39" s="543"/>
      <c r="E39" s="545"/>
      <c r="F39" s="428"/>
      <c r="G39" s="430"/>
      <c r="H39" s="464"/>
      <c r="I39" s="551"/>
      <c r="J39" s="256" t="s">
        <v>159</v>
      </c>
      <c r="K39" s="257">
        <v>0</v>
      </c>
      <c r="L39" s="559"/>
      <c r="M39" s="506"/>
    </row>
    <row r="40" spans="1:13" s="29" customFormat="1" ht="18.75" customHeight="1" x14ac:dyDescent="0.35">
      <c r="A40" s="624">
        <v>12</v>
      </c>
      <c r="B40" s="547" t="s">
        <v>156</v>
      </c>
      <c r="C40" s="541" t="s">
        <v>160</v>
      </c>
      <c r="D40" s="542"/>
      <c r="E40" s="544"/>
      <c r="F40" s="546"/>
      <c r="G40" s="538" t="s">
        <v>73</v>
      </c>
      <c r="H40" s="539">
        <f>IF(G40='Response Guidelines'!$D$80,'Response Guidelines'!$C$80, IF(G40='Response Guidelines'!$D$81,'Response Guidelines'!$C$81,IF(G40='Response Guidelines'!$D$82,'Response Guidelines'!$C$82,IF(G40='Response Guidelines'!$D$83,'Response Guidelines'!$C$83,IF(G40='Response Guidelines'!$D$84,'Response Guidelines'!$C$84,IF(G40='Response Guidelines'!$D$85,'Response Guidelines'!$C$85,IF(G40='Response Guidelines'!$D$86,'Response Guidelines'!$C$86,"No Rating")))))))</f>
        <v>5</v>
      </c>
      <c r="I40" s="540">
        <f>(H40/$H$127)/_xlfn.XLOOKUP('Scoring Summary'!$D$15,'Response Guidelines'!$D$91:$D$190,'Response Guidelines'!$C$91:$C$190,"",0,1)</f>
        <v>1.5202702702702704E-2</v>
      </c>
      <c r="J40" s="258" t="s">
        <v>161</v>
      </c>
      <c r="K40" s="164">
        <f>I40</f>
        <v>1.5202702702702704E-2</v>
      </c>
      <c r="L40" s="461"/>
      <c r="M40" s="522"/>
    </row>
    <row r="41" spans="1:13" s="29" customFormat="1" ht="19.5" customHeight="1" x14ac:dyDescent="0.35">
      <c r="A41" s="624"/>
      <c r="B41" s="548"/>
      <c r="C41" s="541"/>
      <c r="D41" s="542"/>
      <c r="E41" s="544"/>
      <c r="F41" s="546"/>
      <c r="G41" s="538"/>
      <c r="H41" s="539"/>
      <c r="I41" s="540"/>
      <c r="J41" s="134" t="s">
        <v>162</v>
      </c>
      <c r="K41" s="110">
        <f>I40*(13/14)</f>
        <v>1.4116795366795368E-2</v>
      </c>
      <c r="L41" s="462"/>
      <c r="M41" s="523"/>
    </row>
    <row r="42" spans="1:13" s="29" customFormat="1" ht="10" x14ac:dyDescent="0.35">
      <c r="A42" s="624"/>
      <c r="B42" s="548"/>
      <c r="C42" s="541"/>
      <c r="D42" s="542"/>
      <c r="E42" s="544"/>
      <c r="F42" s="546"/>
      <c r="G42" s="538"/>
      <c r="H42" s="539"/>
      <c r="I42" s="540"/>
      <c r="J42" s="134" t="s">
        <v>163</v>
      </c>
      <c r="K42" s="110">
        <f>I40*(12/14)</f>
        <v>1.3030888030888031E-2</v>
      </c>
      <c r="L42" s="462"/>
      <c r="M42" s="523"/>
    </row>
    <row r="43" spans="1:13" s="29" customFormat="1" ht="10" x14ac:dyDescent="0.35">
      <c r="A43" s="624"/>
      <c r="B43" s="548"/>
      <c r="C43" s="541"/>
      <c r="D43" s="542"/>
      <c r="E43" s="544"/>
      <c r="F43" s="546"/>
      <c r="G43" s="538"/>
      <c r="H43" s="539"/>
      <c r="I43" s="540"/>
      <c r="J43" s="134" t="s">
        <v>164</v>
      </c>
      <c r="K43" s="110">
        <f>I40*(11/14)</f>
        <v>1.1944980694980695E-2</v>
      </c>
      <c r="L43" s="462"/>
      <c r="M43" s="523"/>
    </row>
    <row r="44" spans="1:13" s="29" customFormat="1" ht="10" x14ac:dyDescent="0.35">
      <c r="A44" s="624"/>
      <c r="B44" s="548"/>
      <c r="C44" s="541"/>
      <c r="D44" s="542"/>
      <c r="E44" s="544"/>
      <c r="F44" s="546"/>
      <c r="G44" s="538"/>
      <c r="H44" s="539"/>
      <c r="I44" s="540"/>
      <c r="J44" s="134" t="s">
        <v>165</v>
      </c>
      <c r="K44" s="110">
        <f>I40*(10/14)</f>
        <v>1.085907335907336E-2</v>
      </c>
      <c r="L44" s="462"/>
      <c r="M44" s="523"/>
    </row>
    <row r="45" spans="1:13" s="29" customFormat="1" ht="10" x14ac:dyDescent="0.35">
      <c r="A45" s="624"/>
      <c r="B45" s="548"/>
      <c r="C45" s="541"/>
      <c r="D45" s="542"/>
      <c r="E45" s="544"/>
      <c r="F45" s="546"/>
      <c r="G45" s="538"/>
      <c r="H45" s="539"/>
      <c r="I45" s="540"/>
      <c r="J45" s="134" t="s">
        <v>166</v>
      </c>
      <c r="K45" s="110">
        <f>I40*(9/14)</f>
        <v>9.7731660231660245E-3</v>
      </c>
      <c r="L45" s="462"/>
      <c r="M45" s="523"/>
    </row>
    <row r="46" spans="1:13" s="29" customFormat="1" ht="14.25" customHeight="1" x14ac:dyDescent="0.35">
      <c r="A46" s="624"/>
      <c r="B46" s="548"/>
      <c r="C46" s="541"/>
      <c r="D46" s="542"/>
      <c r="E46" s="544"/>
      <c r="F46" s="546"/>
      <c r="G46" s="538"/>
      <c r="H46" s="539"/>
      <c r="I46" s="540"/>
      <c r="J46" s="134" t="s">
        <v>167</v>
      </c>
      <c r="K46" s="110">
        <f>I40*(8/14)</f>
        <v>8.6872586872586872E-3</v>
      </c>
      <c r="L46" s="462"/>
      <c r="M46" s="523"/>
    </row>
    <row r="47" spans="1:13" s="29" customFormat="1" ht="13.5" customHeight="1" x14ac:dyDescent="0.35">
      <c r="A47" s="624"/>
      <c r="B47" s="548"/>
      <c r="C47" s="541"/>
      <c r="D47" s="542"/>
      <c r="E47" s="544"/>
      <c r="F47" s="546"/>
      <c r="G47" s="538"/>
      <c r="H47" s="539"/>
      <c r="I47" s="540"/>
      <c r="J47" s="134" t="s">
        <v>168</v>
      </c>
      <c r="K47" s="110">
        <f>I40*(7/14)</f>
        <v>7.6013513513513518E-3</v>
      </c>
      <c r="L47" s="462"/>
      <c r="M47" s="523"/>
    </row>
    <row r="48" spans="1:13" s="29" customFormat="1" ht="17.25" customHeight="1" x14ac:dyDescent="0.35">
      <c r="A48" s="624"/>
      <c r="B48" s="548"/>
      <c r="C48" s="541"/>
      <c r="D48" s="542"/>
      <c r="E48" s="544"/>
      <c r="F48" s="546"/>
      <c r="G48" s="538"/>
      <c r="H48" s="539"/>
      <c r="I48" s="540"/>
      <c r="J48" s="134" t="s">
        <v>169</v>
      </c>
      <c r="K48" s="110">
        <f>I40*(6/14)</f>
        <v>6.5154440154440154E-3</v>
      </c>
      <c r="L48" s="462"/>
      <c r="M48" s="523"/>
    </row>
    <row r="49" spans="1:13" s="29" customFormat="1" ht="21.75" customHeight="1" x14ac:dyDescent="0.35">
      <c r="A49" s="624"/>
      <c r="B49" s="548"/>
      <c r="C49" s="541"/>
      <c r="D49" s="542"/>
      <c r="E49" s="544"/>
      <c r="F49" s="546"/>
      <c r="G49" s="538"/>
      <c r="H49" s="539"/>
      <c r="I49" s="540"/>
      <c r="J49" s="134" t="s">
        <v>170</v>
      </c>
      <c r="K49" s="110">
        <f>I40*(5/14)</f>
        <v>5.42953667953668E-3</v>
      </c>
      <c r="L49" s="144"/>
      <c r="M49" s="523"/>
    </row>
    <row r="50" spans="1:13" s="29" customFormat="1" ht="18" customHeight="1" x14ac:dyDescent="0.35">
      <c r="A50" s="624"/>
      <c r="B50" s="548"/>
      <c r="C50" s="541"/>
      <c r="D50" s="542"/>
      <c r="E50" s="544"/>
      <c r="F50" s="546"/>
      <c r="G50" s="538"/>
      <c r="H50" s="539"/>
      <c r="I50" s="540"/>
      <c r="J50" s="134" t="s">
        <v>171</v>
      </c>
      <c r="K50" s="110">
        <f>I40*(4/14)</f>
        <v>4.3436293436293436E-3</v>
      </c>
      <c r="L50" s="144"/>
      <c r="M50" s="523"/>
    </row>
    <row r="51" spans="1:13" s="29" customFormat="1" ht="12" customHeight="1" x14ac:dyDescent="0.35">
      <c r="A51" s="624"/>
      <c r="B51" s="548"/>
      <c r="C51" s="541"/>
      <c r="D51" s="542"/>
      <c r="E51" s="544"/>
      <c r="F51" s="546"/>
      <c r="G51" s="538"/>
      <c r="H51" s="539"/>
      <c r="I51" s="540"/>
      <c r="J51" s="134" t="s">
        <v>172</v>
      </c>
      <c r="K51" s="110">
        <f>I40*(3/14)</f>
        <v>3.2577220077220077E-3</v>
      </c>
      <c r="L51" s="144"/>
      <c r="M51" s="523"/>
    </row>
    <row r="52" spans="1:13" s="29" customFormat="1" ht="18.649999999999999" customHeight="1" x14ac:dyDescent="0.35">
      <c r="A52" s="624"/>
      <c r="B52" s="548"/>
      <c r="C52" s="541"/>
      <c r="D52" s="542"/>
      <c r="E52" s="544"/>
      <c r="F52" s="546"/>
      <c r="G52" s="538"/>
      <c r="H52" s="539"/>
      <c r="I52" s="540"/>
      <c r="J52" s="134" t="s">
        <v>173</v>
      </c>
      <c r="K52" s="110">
        <f>I40*(2/14)</f>
        <v>2.1718146718146718E-3</v>
      </c>
      <c r="L52" s="144"/>
      <c r="M52" s="523"/>
    </row>
    <row r="53" spans="1:13" s="29" customFormat="1" ht="20.25" customHeight="1" x14ac:dyDescent="0.35">
      <c r="A53" s="624"/>
      <c r="B53" s="548"/>
      <c r="C53" s="541"/>
      <c r="D53" s="542"/>
      <c r="E53" s="544"/>
      <c r="F53" s="546"/>
      <c r="G53" s="538"/>
      <c r="H53" s="539"/>
      <c r="I53" s="540"/>
      <c r="J53" s="135" t="s">
        <v>174</v>
      </c>
      <c r="K53" s="110">
        <f>I40*(1/14)</f>
        <v>1.0859073359073359E-3</v>
      </c>
      <c r="L53" s="144"/>
      <c r="M53" s="523"/>
    </row>
    <row r="54" spans="1:13" s="29" customFormat="1" ht="11.15" customHeight="1" x14ac:dyDescent="0.35">
      <c r="A54" s="624"/>
      <c r="B54" s="548"/>
      <c r="C54" s="541"/>
      <c r="D54" s="543"/>
      <c r="E54" s="545"/>
      <c r="F54" s="428"/>
      <c r="G54" s="538"/>
      <c r="H54" s="539"/>
      <c r="I54" s="540"/>
      <c r="J54" s="135" t="s">
        <v>175</v>
      </c>
      <c r="K54" s="261">
        <v>0</v>
      </c>
      <c r="L54" s="144"/>
      <c r="M54" s="524"/>
    </row>
    <row r="55" spans="1:13" s="29" customFormat="1" ht="14.25" customHeight="1" x14ac:dyDescent="0.35">
      <c r="A55" s="622">
        <v>13</v>
      </c>
      <c r="B55" s="421" t="s">
        <v>156</v>
      </c>
      <c r="C55" s="444" t="s">
        <v>176</v>
      </c>
      <c r="D55" s="542"/>
      <c r="E55" s="544"/>
      <c r="F55" s="546"/>
      <c r="G55" s="498" t="s">
        <v>33</v>
      </c>
      <c r="H55" s="447">
        <f>IF(G55='Response Guidelines'!$D$80,'Response Guidelines'!$C$80, IF(G55='Response Guidelines'!$D$81,'Response Guidelines'!$C$81,IF(G55='Response Guidelines'!$D$82,'Response Guidelines'!$C$82,IF(G55='Response Guidelines'!$D$83,'Response Guidelines'!$C$83,IF(G55='Response Guidelines'!$D$84,'Response Guidelines'!$C$84,IF(G55='Response Guidelines'!$D$85,'Response Guidelines'!$C$85,IF(G55='Response Guidelines'!$D$86,'Response Guidelines'!$C$86,"No Rating")))))))</f>
        <v>3</v>
      </c>
      <c r="I55" s="535">
        <f>(H55/$H$127)/_xlfn.XLOOKUP('Scoring Summary'!$D$15,'Response Guidelines'!$D$91:$D$190,'Response Guidelines'!$C$91:$C$190,"",0,1)</f>
        <v>9.1216216216216221E-3</v>
      </c>
      <c r="J55" s="259" t="s">
        <v>166</v>
      </c>
      <c r="K55" s="253">
        <f>I55</f>
        <v>9.1216216216216221E-3</v>
      </c>
      <c r="L55" s="208"/>
      <c r="M55" s="505"/>
    </row>
    <row r="56" spans="1:13" s="29" customFormat="1" ht="20.25" customHeight="1" x14ac:dyDescent="0.35">
      <c r="A56" s="624"/>
      <c r="B56" s="549"/>
      <c r="C56" s="445"/>
      <c r="D56" s="542"/>
      <c r="E56" s="544"/>
      <c r="F56" s="546"/>
      <c r="G56" s="499"/>
      <c r="H56" s="448"/>
      <c r="I56" s="536"/>
      <c r="J56" s="145" t="s">
        <v>167</v>
      </c>
      <c r="K56" s="110">
        <f>I55*(8/9)</f>
        <v>8.1081081081081086E-3</v>
      </c>
      <c r="L56" s="129"/>
      <c r="M56" s="518"/>
    </row>
    <row r="57" spans="1:13" s="29" customFormat="1" ht="11.15" customHeight="1" x14ac:dyDescent="0.35">
      <c r="A57" s="624"/>
      <c r="B57" s="549"/>
      <c r="C57" s="445"/>
      <c r="D57" s="542"/>
      <c r="E57" s="544"/>
      <c r="F57" s="546"/>
      <c r="G57" s="499"/>
      <c r="H57" s="448"/>
      <c r="I57" s="536"/>
      <c r="J57" s="145" t="s">
        <v>168</v>
      </c>
      <c r="K57" s="110">
        <f>I55*(7/9)</f>
        <v>7.094594594594595E-3</v>
      </c>
      <c r="L57" s="129"/>
      <c r="M57" s="518"/>
    </row>
    <row r="58" spans="1:13" s="29" customFormat="1" ht="11.15" customHeight="1" x14ac:dyDescent="0.35">
      <c r="A58" s="624"/>
      <c r="B58" s="549"/>
      <c r="C58" s="445"/>
      <c r="D58" s="542"/>
      <c r="E58" s="544"/>
      <c r="F58" s="546"/>
      <c r="G58" s="499"/>
      <c r="H58" s="448"/>
      <c r="I58" s="536"/>
      <c r="J58" s="145" t="s">
        <v>169</v>
      </c>
      <c r="K58" s="110">
        <f>I55*(6/9)</f>
        <v>6.0810810810810814E-3</v>
      </c>
      <c r="L58" s="129"/>
      <c r="M58" s="518"/>
    </row>
    <row r="59" spans="1:13" s="29" customFormat="1" ht="11.15" customHeight="1" x14ac:dyDescent="0.35">
      <c r="A59" s="624"/>
      <c r="B59" s="549"/>
      <c r="C59" s="445"/>
      <c r="D59" s="542"/>
      <c r="E59" s="544"/>
      <c r="F59" s="546"/>
      <c r="G59" s="499"/>
      <c r="H59" s="448"/>
      <c r="I59" s="536"/>
      <c r="J59" s="145" t="s">
        <v>170</v>
      </c>
      <c r="K59" s="110">
        <f>I55*(5/9)</f>
        <v>5.0675675675675678E-3</v>
      </c>
      <c r="L59" s="129"/>
      <c r="M59" s="518"/>
    </row>
    <row r="60" spans="1:13" s="29" customFormat="1" ht="12.75" customHeight="1" x14ac:dyDescent="0.35">
      <c r="A60" s="624"/>
      <c r="B60" s="549"/>
      <c r="C60" s="445"/>
      <c r="D60" s="542"/>
      <c r="E60" s="544"/>
      <c r="F60" s="546"/>
      <c r="G60" s="499"/>
      <c r="H60" s="448"/>
      <c r="I60" s="536"/>
      <c r="J60" s="145" t="s">
        <v>171</v>
      </c>
      <c r="K60" s="110">
        <f>I55*(4/9)</f>
        <v>4.0540540540540543E-3</v>
      </c>
      <c r="L60" s="129"/>
      <c r="M60" s="518"/>
    </row>
    <row r="61" spans="1:13" s="29" customFormat="1" ht="10.4" customHeight="1" x14ac:dyDescent="0.35">
      <c r="A61" s="624"/>
      <c r="B61" s="549"/>
      <c r="C61" s="445"/>
      <c r="D61" s="542"/>
      <c r="E61" s="544"/>
      <c r="F61" s="546"/>
      <c r="G61" s="499"/>
      <c r="H61" s="448"/>
      <c r="I61" s="536"/>
      <c r="J61" s="145" t="s">
        <v>172</v>
      </c>
      <c r="K61" s="110">
        <f>I55*(3/9)</f>
        <v>3.0405405405405407E-3</v>
      </c>
      <c r="L61" s="129"/>
      <c r="M61" s="518"/>
    </row>
    <row r="62" spans="1:13" s="29" customFormat="1" ht="12.75" customHeight="1" x14ac:dyDescent="0.35">
      <c r="A62" s="624"/>
      <c r="B62" s="549"/>
      <c r="C62" s="445"/>
      <c r="D62" s="542"/>
      <c r="E62" s="544"/>
      <c r="F62" s="546"/>
      <c r="G62" s="499"/>
      <c r="H62" s="448"/>
      <c r="I62" s="536"/>
      <c r="J62" s="145" t="s">
        <v>173</v>
      </c>
      <c r="K62" s="110">
        <f>I55*(2/9)</f>
        <v>2.0270270270270271E-3</v>
      </c>
      <c r="L62" s="129"/>
      <c r="M62" s="518"/>
    </row>
    <row r="63" spans="1:13" s="29" customFormat="1" ht="18" customHeight="1" x14ac:dyDescent="0.35">
      <c r="A63" s="624"/>
      <c r="B63" s="549"/>
      <c r="C63" s="445"/>
      <c r="D63" s="542"/>
      <c r="E63" s="544"/>
      <c r="F63" s="546"/>
      <c r="G63" s="499"/>
      <c r="H63" s="448"/>
      <c r="I63" s="536"/>
      <c r="J63" s="146" t="s">
        <v>174</v>
      </c>
      <c r="K63" s="110">
        <f>I55*(1/9)</f>
        <v>1.0135135135135136E-3</v>
      </c>
      <c r="L63" s="129"/>
      <c r="M63" s="518"/>
    </row>
    <row r="64" spans="1:13" s="29" customFormat="1" ht="53.25" customHeight="1" x14ac:dyDescent="0.35">
      <c r="A64" s="623"/>
      <c r="B64" s="422"/>
      <c r="C64" s="446"/>
      <c r="D64" s="543"/>
      <c r="E64" s="545"/>
      <c r="F64" s="428"/>
      <c r="G64" s="500"/>
      <c r="H64" s="449"/>
      <c r="I64" s="537"/>
      <c r="J64" s="260" t="s">
        <v>175</v>
      </c>
      <c r="K64" s="178">
        <v>0</v>
      </c>
      <c r="L64" s="180"/>
      <c r="M64" s="506"/>
    </row>
    <row r="65" spans="1:13" s="29" customFormat="1" ht="76.5" customHeight="1" x14ac:dyDescent="0.35">
      <c r="A65" s="624">
        <v>14</v>
      </c>
      <c r="B65" s="434" t="s">
        <v>177</v>
      </c>
      <c r="C65" s="437" t="s">
        <v>178</v>
      </c>
      <c r="D65" s="438"/>
      <c r="E65" s="441"/>
      <c r="F65" s="527"/>
      <c r="G65" s="380" t="s">
        <v>71</v>
      </c>
      <c r="H65" s="310">
        <f>IF(G65='Response Guidelines'!$D$80,'Response Guidelines'!$C$80, IF(G65='Response Guidelines'!$D$81,'Response Guidelines'!$C$81,IF(G65='Response Guidelines'!$D$82,'Response Guidelines'!$C$82,IF(G65='Response Guidelines'!$D$83,'Response Guidelines'!$C$83,IF(G65='Response Guidelines'!$D$84,'Response Guidelines'!$C$84,IF(G65='Response Guidelines'!$D$85,'Response Guidelines'!$C$85,IF(G65='Response Guidelines'!$D$86,'Response Guidelines'!$C$86,"No Rating")))))))</f>
        <v>2</v>
      </c>
      <c r="I65" s="311">
        <f>(H65/$H$127)/_xlfn.XLOOKUP('Scoring Summary'!$D$15,'Response Guidelines'!$D$91:$D$190,'Response Guidelines'!$C$91:$C$190,"",0,1)</f>
        <v>6.0810810810810814E-3</v>
      </c>
      <c r="J65" s="43" t="s">
        <v>179</v>
      </c>
      <c r="K65" s="42">
        <f>I65</f>
        <v>6.0810810810810814E-3</v>
      </c>
      <c r="L65" s="487"/>
      <c r="M65" s="509"/>
    </row>
    <row r="66" spans="1:13" s="29" customFormat="1" ht="11.15" customHeight="1" x14ac:dyDescent="0.35">
      <c r="A66" s="624"/>
      <c r="B66" s="435"/>
      <c r="C66" s="437"/>
      <c r="D66" s="439"/>
      <c r="E66" s="442"/>
      <c r="F66" s="528"/>
      <c r="G66" s="380"/>
      <c r="H66" s="310"/>
      <c r="I66" s="312"/>
      <c r="J66" s="39" t="s">
        <v>180</v>
      </c>
      <c r="K66" s="38">
        <f>I65*0.66</f>
        <v>4.0135135135135136E-3</v>
      </c>
      <c r="L66" s="487"/>
      <c r="M66" s="454"/>
    </row>
    <row r="67" spans="1:13" s="29" customFormat="1" ht="11.15" customHeight="1" x14ac:dyDescent="0.35">
      <c r="A67" s="624"/>
      <c r="B67" s="435"/>
      <c r="C67" s="437"/>
      <c r="D67" s="439"/>
      <c r="E67" s="442"/>
      <c r="F67" s="528"/>
      <c r="G67" s="380"/>
      <c r="H67" s="310"/>
      <c r="I67" s="312"/>
      <c r="J67" s="39" t="s">
        <v>142</v>
      </c>
      <c r="K67" s="38">
        <f>I65*0.33</f>
        <v>2.0067567567567568E-3</v>
      </c>
      <c r="L67" s="487"/>
      <c r="M67" s="454"/>
    </row>
    <row r="68" spans="1:13" s="29" customFormat="1" ht="11.15" customHeight="1" x14ac:dyDescent="0.35">
      <c r="A68" s="624"/>
      <c r="B68" s="436"/>
      <c r="C68" s="437"/>
      <c r="D68" s="440"/>
      <c r="E68" s="443"/>
      <c r="F68" s="529"/>
      <c r="G68" s="380"/>
      <c r="H68" s="310"/>
      <c r="I68" s="450"/>
      <c r="J68" s="41" t="s">
        <v>181</v>
      </c>
      <c r="K68" s="40">
        <v>0</v>
      </c>
      <c r="L68" s="487"/>
      <c r="M68" s="510"/>
    </row>
    <row r="69" spans="1:13" s="29" customFormat="1" ht="11.15" customHeight="1" x14ac:dyDescent="0.35">
      <c r="A69" s="625">
        <v>15</v>
      </c>
      <c r="B69" s="418" t="s">
        <v>182</v>
      </c>
      <c r="C69" s="453" t="s">
        <v>183</v>
      </c>
      <c r="D69" s="456"/>
      <c r="E69" s="332"/>
      <c r="F69" s="334"/>
      <c r="G69" s="511" t="s">
        <v>72</v>
      </c>
      <c r="H69" s="423">
        <f>IF(G69='Response Guidelines'!$D$80,'Response Guidelines'!$C$80, IF(G69='Response Guidelines'!$D$81,'Response Guidelines'!$C$81,IF(G69='Response Guidelines'!$D$82,'Response Guidelines'!$C$82,IF(G69='Response Guidelines'!$D$83,'Response Guidelines'!$C$83,IF(G69='Response Guidelines'!$D$84,'Response Guidelines'!$C$84,IF(G69='Response Guidelines'!$D$85,'Response Guidelines'!$C$85,IF(G69='Response Guidelines'!$D$86,'Response Guidelines'!$C$86,"No Rating")))))))</f>
        <v>4</v>
      </c>
      <c r="I69" s="425">
        <f>(H69/$H$127)/_xlfn.XLOOKUP('Scoring Summary'!$D$15,'Response Guidelines'!$D$91:$D$190,'Response Guidelines'!$C$91:$C$190,"",0,1)</f>
        <v>1.2162162162162163E-2</v>
      </c>
      <c r="J69" s="188" t="s">
        <v>184</v>
      </c>
      <c r="K69" s="176">
        <f>I69</f>
        <v>1.2162162162162163E-2</v>
      </c>
      <c r="L69" s="496"/>
      <c r="M69" s="519"/>
    </row>
    <row r="70" spans="1:13" s="29" customFormat="1" ht="17.25" customHeight="1" x14ac:dyDescent="0.35">
      <c r="A70" s="626"/>
      <c r="B70" s="451"/>
      <c r="C70" s="454"/>
      <c r="D70" s="456"/>
      <c r="E70" s="332"/>
      <c r="F70" s="334"/>
      <c r="G70" s="507"/>
      <c r="H70" s="310"/>
      <c r="I70" s="312"/>
      <c r="J70" s="39" t="s">
        <v>185</v>
      </c>
      <c r="K70" s="38">
        <f>I69*0.8</f>
        <v>9.729729729729731E-3</v>
      </c>
      <c r="L70" s="304"/>
      <c r="M70" s="520"/>
    </row>
    <row r="71" spans="1:13" s="29" customFormat="1" ht="24.75" customHeight="1" x14ac:dyDescent="0.35">
      <c r="A71" s="626"/>
      <c r="B71" s="451"/>
      <c r="C71" s="454"/>
      <c r="D71" s="456"/>
      <c r="E71" s="332"/>
      <c r="F71" s="334"/>
      <c r="G71" s="507"/>
      <c r="H71" s="310"/>
      <c r="I71" s="312"/>
      <c r="J71" s="39" t="s">
        <v>186</v>
      </c>
      <c r="K71" s="38">
        <f>I69*0.6</f>
        <v>7.2972972972972974E-3</v>
      </c>
      <c r="L71" s="304"/>
      <c r="M71" s="520"/>
    </row>
    <row r="72" spans="1:13" s="29" customFormat="1" ht="25.5" customHeight="1" x14ac:dyDescent="0.35">
      <c r="A72" s="626"/>
      <c r="B72" s="451"/>
      <c r="C72" s="454"/>
      <c r="D72" s="456"/>
      <c r="E72" s="332"/>
      <c r="F72" s="334"/>
      <c r="G72" s="507"/>
      <c r="H72" s="310"/>
      <c r="I72" s="312"/>
      <c r="J72" s="39" t="s">
        <v>180</v>
      </c>
      <c r="K72" s="38">
        <f>I69*0.4</f>
        <v>4.8648648648648655E-3</v>
      </c>
      <c r="L72" s="304"/>
      <c r="M72" s="520"/>
    </row>
    <row r="73" spans="1:13" s="29" customFormat="1" ht="25.5" customHeight="1" x14ac:dyDescent="0.35">
      <c r="A73" s="626"/>
      <c r="B73" s="451"/>
      <c r="C73" s="454"/>
      <c r="D73" s="456"/>
      <c r="E73" s="332"/>
      <c r="F73" s="334"/>
      <c r="G73" s="507"/>
      <c r="H73" s="310"/>
      <c r="I73" s="312"/>
      <c r="J73" s="39" t="s">
        <v>142</v>
      </c>
      <c r="K73" s="38">
        <f>I69*0.2</f>
        <v>2.4324324324324327E-3</v>
      </c>
      <c r="L73" s="304"/>
      <c r="M73" s="520"/>
    </row>
    <row r="74" spans="1:13" s="29" customFormat="1" ht="15.75" customHeight="1" x14ac:dyDescent="0.35">
      <c r="A74" s="627"/>
      <c r="B74" s="452"/>
      <c r="C74" s="455"/>
      <c r="D74" s="457"/>
      <c r="E74" s="458"/>
      <c r="F74" s="530"/>
      <c r="G74" s="512"/>
      <c r="H74" s="424"/>
      <c r="I74" s="426"/>
      <c r="J74" s="207" t="s">
        <v>181</v>
      </c>
      <c r="K74" s="178">
        <v>0</v>
      </c>
      <c r="L74" s="497"/>
      <c r="M74" s="521"/>
    </row>
    <row r="75" spans="1:13" s="29" customFormat="1" ht="42" customHeight="1" x14ac:dyDescent="0.35">
      <c r="A75" s="624">
        <v>16</v>
      </c>
      <c r="B75" s="531" t="s">
        <v>187</v>
      </c>
      <c r="C75" s="407" t="s">
        <v>188</v>
      </c>
      <c r="D75" s="432"/>
      <c r="E75" s="433"/>
      <c r="F75" s="431"/>
      <c r="G75" s="501" t="s">
        <v>37</v>
      </c>
      <c r="H75" s="310">
        <f>IF(G75='Response Guidelines'!$D$80,'Response Guidelines'!$C$80, IF(G75='Response Guidelines'!$D$81,'Response Guidelines'!$C$81,IF(G75='Response Guidelines'!$D$82,'Response Guidelines'!$C$82,IF(G75='Response Guidelines'!$D$83,'Response Guidelines'!$C$83,IF(G75='Response Guidelines'!$D$84,'Response Guidelines'!$C$84,IF(G75='Response Guidelines'!$D$85,'Response Guidelines'!$C$85,IF(G75='Response Guidelines'!$D$86,'Response Guidelines'!$C$86,"No Rating")))))))</f>
        <v>6</v>
      </c>
      <c r="I75" s="311">
        <f>(H75/$H$127)/_xlfn.XLOOKUP('Scoring Summary'!$D$15,'Response Guidelines'!$D$91:$D$190,'Response Guidelines'!$C$91:$C$190,"",0,1)</f>
        <v>1.8243243243243244E-2</v>
      </c>
      <c r="J75" s="43" t="s">
        <v>186</v>
      </c>
      <c r="K75" s="42">
        <f>I75</f>
        <v>1.8243243243243244E-2</v>
      </c>
      <c r="L75" s="313"/>
      <c r="M75" s="509"/>
    </row>
    <row r="76" spans="1:13" s="29" customFormat="1" ht="39.75" customHeight="1" x14ac:dyDescent="0.35">
      <c r="A76" s="624"/>
      <c r="B76" s="419"/>
      <c r="C76" s="407"/>
      <c r="D76" s="432"/>
      <c r="E76" s="433"/>
      <c r="F76" s="431"/>
      <c r="G76" s="507"/>
      <c r="H76" s="310"/>
      <c r="I76" s="312"/>
      <c r="J76" s="39" t="s">
        <v>180</v>
      </c>
      <c r="K76" s="38">
        <f>I75*0.66</f>
        <v>1.2040540540540542E-2</v>
      </c>
      <c r="L76" s="304"/>
      <c r="M76" s="454"/>
    </row>
    <row r="77" spans="1:13" s="29" customFormat="1" ht="24.75" customHeight="1" x14ac:dyDescent="0.35">
      <c r="A77" s="624"/>
      <c r="B77" s="532"/>
      <c r="C77" s="407"/>
      <c r="D77" s="432"/>
      <c r="E77" s="433"/>
      <c r="F77" s="431"/>
      <c r="G77" s="507"/>
      <c r="H77" s="310"/>
      <c r="I77" s="312"/>
      <c r="J77" s="39" t="s">
        <v>142</v>
      </c>
      <c r="K77" s="40">
        <f>I75*0.33</f>
        <v>6.0202702702702709E-3</v>
      </c>
      <c r="L77" s="508"/>
      <c r="M77" s="510"/>
    </row>
    <row r="78" spans="1:13" s="29" customFormat="1" ht="34.5" customHeight="1" x14ac:dyDescent="0.35">
      <c r="A78" s="624"/>
      <c r="B78" s="532"/>
      <c r="C78" s="407"/>
      <c r="D78" s="432"/>
      <c r="E78" s="433"/>
      <c r="F78" s="431"/>
      <c r="G78" s="502"/>
      <c r="H78" s="310"/>
      <c r="I78" s="450"/>
      <c r="J78" s="41" t="s">
        <v>181</v>
      </c>
      <c r="K78" s="40">
        <v>0</v>
      </c>
      <c r="L78" s="508"/>
      <c r="M78" s="510"/>
    </row>
    <row r="79" spans="1:13" s="29" customFormat="1" ht="11.15" customHeight="1" x14ac:dyDescent="0.35">
      <c r="A79" s="622">
        <v>17</v>
      </c>
      <c r="B79" s="418" t="s">
        <v>189</v>
      </c>
      <c r="C79" s="401" t="s">
        <v>190</v>
      </c>
      <c r="D79" s="504"/>
      <c r="E79" s="494"/>
      <c r="F79" s="459"/>
      <c r="G79" s="511" t="s">
        <v>33</v>
      </c>
      <c r="H79" s="423">
        <f>IF(G79='Response Guidelines'!$D$80,'Response Guidelines'!$C$80, IF(G79='Response Guidelines'!$D$81,'Response Guidelines'!$C$81,IF(G79='Response Guidelines'!$D$82,'Response Guidelines'!$C$82,IF(G79='Response Guidelines'!$D$83,'Response Guidelines'!$C$83,IF(G79='Response Guidelines'!$D$84,'Response Guidelines'!$C$84,IF(G79='Response Guidelines'!$D$85,'Response Guidelines'!$C$85,IF(G79='Response Guidelines'!$D$86,'Response Guidelines'!$C$86,"No Rating")))))))</f>
        <v>3</v>
      </c>
      <c r="I79" s="425">
        <f>(H79/$H$127)/_xlfn.XLOOKUP('Scoring Summary'!$D$15,'Response Guidelines'!$D$91:$D$190,'Response Guidelines'!$C$91:$C$190,"",0,1)</f>
        <v>9.1216216216216221E-3</v>
      </c>
      <c r="J79" s="188" t="s">
        <v>180</v>
      </c>
      <c r="K79" s="176">
        <f>I79</f>
        <v>9.1216216216216221E-3</v>
      </c>
      <c r="L79" s="496"/>
      <c r="M79" s="453"/>
    </row>
    <row r="80" spans="1:13" s="29" customFormat="1" ht="29.25" customHeight="1" x14ac:dyDescent="0.35">
      <c r="A80" s="624"/>
      <c r="B80" s="419"/>
      <c r="C80" s="407"/>
      <c r="D80" s="432"/>
      <c r="E80" s="433"/>
      <c r="F80" s="431"/>
      <c r="G80" s="507"/>
      <c r="H80" s="310"/>
      <c r="I80" s="312"/>
      <c r="J80" s="39" t="s">
        <v>142</v>
      </c>
      <c r="K80" s="38">
        <f>I79*0.5</f>
        <v>4.5608108108108111E-3</v>
      </c>
      <c r="L80" s="304"/>
      <c r="M80" s="454"/>
    </row>
    <row r="81" spans="1:13" s="29" customFormat="1" ht="28.5" customHeight="1" x14ac:dyDescent="0.35">
      <c r="A81" s="623"/>
      <c r="B81" s="420"/>
      <c r="C81" s="402"/>
      <c r="D81" s="493"/>
      <c r="E81" s="495"/>
      <c r="F81" s="460"/>
      <c r="G81" s="512"/>
      <c r="H81" s="424"/>
      <c r="I81" s="426"/>
      <c r="J81" s="207" t="s">
        <v>181</v>
      </c>
      <c r="K81" s="178">
        <v>0</v>
      </c>
      <c r="L81" s="497"/>
      <c r="M81" s="455"/>
    </row>
    <row r="82" spans="1:13" s="29" customFormat="1" ht="15" customHeight="1" x14ac:dyDescent="0.35">
      <c r="A82" s="624">
        <v>18</v>
      </c>
      <c r="B82" s="533" t="s">
        <v>191</v>
      </c>
      <c r="C82" s="407" t="s">
        <v>192</v>
      </c>
      <c r="D82" s="432"/>
      <c r="E82" s="433"/>
      <c r="F82" s="431"/>
      <c r="G82" s="488" t="s">
        <v>37</v>
      </c>
      <c r="H82" s="491">
        <f>IF(G82='Response Guidelines'!$D$80,'Response Guidelines'!$C$80, IF(G82='Response Guidelines'!$D$81,'Response Guidelines'!$C$81,IF(G82='Response Guidelines'!$D$82,'Response Guidelines'!$C$82,IF(G82='Response Guidelines'!$D$83,'Response Guidelines'!$C$83,IF(G82='Response Guidelines'!$D$84,'Response Guidelines'!$C$84,IF(G82='Response Guidelines'!$D$85,'Response Guidelines'!$C$85,IF(G82='Response Guidelines'!$D$86,'Response Guidelines'!$C$86,"No Rating")))))))</f>
        <v>6</v>
      </c>
      <c r="I82" s="311">
        <f>(H82/$H$127)/_xlfn.XLOOKUP('Scoring Summary'!$D$15,'Response Guidelines'!$D$91:$D$190,'Response Guidelines'!$C$91:$C$190,"",0,1)</f>
        <v>1.8243243243243244E-2</v>
      </c>
      <c r="J82" s="43" t="s">
        <v>193</v>
      </c>
      <c r="K82" s="42">
        <f>I82</f>
        <v>1.8243243243243244E-2</v>
      </c>
      <c r="L82" s="313"/>
      <c r="M82" s="509"/>
    </row>
    <row r="83" spans="1:13" s="29" customFormat="1" ht="16.5" customHeight="1" x14ac:dyDescent="0.35">
      <c r="A83" s="624"/>
      <c r="B83" s="534"/>
      <c r="C83" s="407"/>
      <c r="D83" s="432"/>
      <c r="E83" s="433"/>
      <c r="F83" s="431"/>
      <c r="G83" s="489"/>
      <c r="H83" s="491"/>
      <c r="I83" s="311"/>
      <c r="J83" s="39" t="s">
        <v>194</v>
      </c>
      <c r="K83" s="38">
        <f>I82*0.8</f>
        <v>1.4594594594594596E-2</v>
      </c>
      <c r="L83" s="304"/>
      <c r="M83" s="454"/>
    </row>
    <row r="84" spans="1:13" s="29" customFormat="1" ht="18.75" customHeight="1" x14ac:dyDescent="0.35">
      <c r="A84" s="624"/>
      <c r="B84" s="534"/>
      <c r="C84" s="407"/>
      <c r="D84" s="432"/>
      <c r="E84" s="433"/>
      <c r="F84" s="431"/>
      <c r="G84" s="489"/>
      <c r="H84" s="491"/>
      <c r="I84" s="311"/>
      <c r="J84" s="39" t="s">
        <v>185</v>
      </c>
      <c r="K84" s="38">
        <f>I82*0.64</f>
        <v>1.1675675675675677E-2</v>
      </c>
      <c r="L84" s="304"/>
      <c r="M84" s="454"/>
    </row>
    <row r="85" spans="1:13" s="29" customFormat="1" ht="18" customHeight="1" x14ac:dyDescent="0.35">
      <c r="A85" s="624"/>
      <c r="B85" s="534"/>
      <c r="C85" s="407"/>
      <c r="D85" s="432"/>
      <c r="E85" s="433"/>
      <c r="F85" s="431"/>
      <c r="G85" s="489"/>
      <c r="H85" s="491"/>
      <c r="I85" s="311"/>
      <c r="J85" s="39" t="s">
        <v>186</v>
      </c>
      <c r="K85" s="38">
        <f>I82*0.48</f>
        <v>8.7567567567567572E-3</v>
      </c>
      <c r="L85" s="304"/>
      <c r="M85" s="454"/>
    </row>
    <row r="86" spans="1:13" s="29" customFormat="1" ht="18.75" customHeight="1" x14ac:dyDescent="0.35">
      <c r="A86" s="624"/>
      <c r="B86" s="419"/>
      <c r="C86" s="407"/>
      <c r="D86" s="432"/>
      <c r="E86" s="433"/>
      <c r="F86" s="431"/>
      <c r="G86" s="489"/>
      <c r="H86" s="491"/>
      <c r="I86" s="312"/>
      <c r="J86" s="39" t="s">
        <v>180</v>
      </c>
      <c r="K86" s="38">
        <f>I82*0.32</f>
        <v>5.8378378378378384E-3</v>
      </c>
      <c r="L86" s="304"/>
      <c r="M86" s="454"/>
    </row>
    <row r="87" spans="1:13" s="29" customFormat="1" ht="16.5" customHeight="1" x14ac:dyDescent="0.35">
      <c r="A87" s="624"/>
      <c r="B87" s="532"/>
      <c r="C87" s="407"/>
      <c r="D87" s="432"/>
      <c r="E87" s="433"/>
      <c r="F87" s="431"/>
      <c r="G87" s="489"/>
      <c r="H87" s="491"/>
      <c r="I87" s="312"/>
      <c r="J87" s="39" t="s">
        <v>142</v>
      </c>
      <c r="K87" s="40">
        <f>I82*0.16</f>
        <v>2.9189189189189192E-3</v>
      </c>
      <c r="L87" s="508"/>
      <c r="M87" s="510"/>
    </row>
    <row r="88" spans="1:13" s="29" customFormat="1" ht="30" customHeight="1" x14ac:dyDescent="0.35">
      <c r="A88" s="624"/>
      <c r="B88" s="532"/>
      <c r="C88" s="407"/>
      <c r="D88" s="432"/>
      <c r="E88" s="433"/>
      <c r="F88" s="431"/>
      <c r="G88" s="490"/>
      <c r="H88" s="491"/>
      <c r="I88" s="450"/>
      <c r="J88" s="41" t="s">
        <v>181</v>
      </c>
      <c r="K88" s="40">
        <v>0</v>
      </c>
      <c r="L88" s="508"/>
      <c r="M88" s="510"/>
    </row>
    <row r="89" spans="1:13" s="29" customFormat="1" ht="16.399999999999999" customHeight="1" x14ac:dyDescent="0.35">
      <c r="A89" s="390">
        <v>19</v>
      </c>
      <c r="B89" s="418" t="s">
        <v>195</v>
      </c>
      <c r="C89" s="401" t="s">
        <v>196</v>
      </c>
      <c r="D89" s="492"/>
      <c r="E89" s="494"/>
      <c r="F89" s="459"/>
      <c r="G89" s="513" t="s">
        <v>72</v>
      </c>
      <c r="H89" s="423">
        <f>IF(G89='Response Guidelines'!$D$80,'Response Guidelines'!$C$80, IF(G89='Response Guidelines'!$D$81,'Response Guidelines'!$C$81,IF(G89='Response Guidelines'!$D$82,'Response Guidelines'!$C$82,IF(G89='Response Guidelines'!$D$83,'Response Guidelines'!$C$83,IF(G89='Response Guidelines'!$D$84,'Response Guidelines'!$C$84,IF(G89='Response Guidelines'!$D$85,'Response Guidelines'!$C$85,IF(G89='Response Guidelines'!$D$86,'Response Guidelines'!$C$86,"No Rating")))))))</f>
        <v>4</v>
      </c>
      <c r="I89" s="425">
        <f>(H89/$H$127)/_xlfn.XLOOKUP('Scoring Summary'!$D$15,'Response Guidelines'!$D$91:$D$190,'Response Guidelines'!$C$91:$C$190,"",0,1)</f>
        <v>1.2162162162162163E-2</v>
      </c>
      <c r="J89" s="188" t="s">
        <v>180</v>
      </c>
      <c r="K89" s="176">
        <f>I89</f>
        <v>1.2162162162162163E-2</v>
      </c>
      <c r="L89" s="496"/>
      <c r="M89" s="453"/>
    </row>
    <row r="90" spans="1:13" ht="10.25" customHeight="1" x14ac:dyDescent="0.2">
      <c r="A90" s="389"/>
      <c r="B90" s="419"/>
      <c r="C90" s="407"/>
      <c r="D90" s="432"/>
      <c r="E90" s="433"/>
      <c r="F90" s="431"/>
      <c r="G90" s="514"/>
      <c r="H90" s="310"/>
      <c r="I90" s="312"/>
      <c r="J90" s="39" t="s">
        <v>142</v>
      </c>
      <c r="K90" s="38">
        <f>I89/2</f>
        <v>6.0810810810810814E-3</v>
      </c>
      <c r="L90" s="304"/>
      <c r="M90" s="454"/>
    </row>
    <row r="91" spans="1:13" ht="39" customHeight="1" x14ac:dyDescent="0.2">
      <c r="A91" s="391"/>
      <c r="B91" s="420"/>
      <c r="C91" s="402"/>
      <c r="D91" s="493"/>
      <c r="E91" s="495"/>
      <c r="F91" s="460"/>
      <c r="G91" s="515"/>
      <c r="H91" s="424"/>
      <c r="I91" s="426"/>
      <c r="J91" s="207" t="s">
        <v>181</v>
      </c>
      <c r="K91" s="178">
        <v>0</v>
      </c>
      <c r="L91" s="497"/>
      <c r="M91" s="455"/>
    </row>
    <row r="92" spans="1:13" ht="42.75" customHeight="1" x14ac:dyDescent="0.2">
      <c r="A92" s="389">
        <v>20</v>
      </c>
      <c r="B92" s="416" t="s">
        <v>197</v>
      </c>
      <c r="C92" s="417" t="s">
        <v>198</v>
      </c>
      <c r="D92" s="471"/>
      <c r="E92" s="474"/>
      <c r="F92" s="469"/>
      <c r="G92" s="501" t="s">
        <v>72</v>
      </c>
      <c r="H92" s="503">
        <f>IF(G92='Response Guidelines'!$D$80,'Response Guidelines'!$C$80, IF(G92='Response Guidelines'!$D$81,'Response Guidelines'!$C$81,IF(G92='Response Guidelines'!$D$82,'Response Guidelines'!$C$82,IF(G92='Response Guidelines'!$D$83,'Response Guidelines'!$C$83,IF(G92='Response Guidelines'!$D$84,'Response Guidelines'!$C$84,IF(G92='Response Guidelines'!$D$85,'Response Guidelines'!$C$85,IF(G92='Response Guidelines'!$D$86,'Response Guidelines'!$C$86,"No Rating")))))))</f>
        <v>4</v>
      </c>
      <c r="I92" s="516">
        <f>(H92/$H$127)/_xlfn.XLOOKUP('Scoring Summary'!$D$15,'Response Guidelines'!$D$91:$D$190,'Response Guidelines'!$C$91:$C$190,"",0,1)</f>
        <v>1.2162162162162163E-2</v>
      </c>
      <c r="J92" s="43" t="s">
        <v>199</v>
      </c>
      <c r="K92" s="42">
        <f>I92</f>
        <v>1.2162162162162163E-2</v>
      </c>
      <c r="L92" s="487"/>
      <c r="M92" s="518"/>
    </row>
    <row r="93" spans="1:13" ht="45" customHeight="1" x14ac:dyDescent="0.2">
      <c r="A93" s="389"/>
      <c r="B93" s="416"/>
      <c r="C93" s="417"/>
      <c r="D93" s="471"/>
      <c r="E93" s="474"/>
      <c r="F93" s="469"/>
      <c r="G93" s="502"/>
      <c r="H93" s="503"/>
      <c r="I93" s="517"/>
      <c r="J93" s="41" t="s">
        <v>200</v>
      </c>
      <c r="K93" s="161">
        <v>0</v>
      </c>
      <c r="L93" s="487"/>
      <c r="M93" s="518"/>
    </row>
    <row r="94" spans="1:13" ht="20.5" customHeight="1" x14ac:dyDescent="0.2">
      <c r="A94" s="390">
        <v>21</v>
      </c>
      <c r="B94" s="414" t="s">
        <v>201</v>
      </c>
      <c r="C94" s="401" t="s">
        <v>202</v>
      </c>
      <c r="D94" s="470"/>
      <c r="E94" s="473"/>
      <c r="F94" s="476"/>
      <c r="G94" s="511" t="s">
        <v>37</v>
      </c>
      <c r="H94" s="423">
        <f>IF(G94='Response Guidelines'!$D$80,'Response Guidelines'!$C$80, IF(G94='Response Guidelines'!$D$81,'Response Guidelines'!$C$81,IF(G94='Response Guidelines'!$D$82,'Response Guidelines'!$C$82,IF(G94='Response Guidelines'!$D$83,'Response Guidelines'!$C$83,IF(G94='Response Guidelines'!$D$84,'Response Guidelines'!$C$84,IF(G94='Response Guidelines'!$D$85,'Response Guidelines'!$C$85,IF(G94='Response Guidelines'!$D$86,'Response Guidelines'!$C$86,"No Rating")))))))</f>
        <v>6</v>
      </c>
      <c r="I94" s="425">
        <f>(H94/$H$127)/_xlfn.XLOOKUP('Scoring Summary'!$D$15,'Response Guidelines'!$D$91:$D$190,'Response Guidelines'!$C$91:$C$190,"",0,1)</f>
        <v>1.8243243243243244E-2</v>
      </c>
      <c r="J94" s="188" t="s">
        <v>203</v>
      </c>
      <c r="K94" s="176">
        <f>I94</f>
        <v>1.8243243243243244E-2</v>
      </c>
      <c r="L94" s="485"/>
      <c r="M94" s="505"/>
    </row>
    <row r="95" spans="1:13" ht="39" customHeight="1" x14ac:dyDescent="0.2">
      <c r="A95" s="391"/>
      <c r="B95" s="415"/>
      <c r="C95" s="402"/>
      <c r="D95" s="472"/>
      <c r="E95" s="475"/>
      <c r="F95" s="477"/>
      <c r="G95" s="512"/>
      <c r="H95" s="424"/>
      <c r="I95" s="426"/>
      <c r="J95" s="207" t="s">
        <v>204</v>
      </c>
      <c r="K95" s="178">
        <v>0</v>
      </c>
      <c r="L95" s="486"/>
      <c r="M95" s="506"/>
    </row>
    <row r="96" spans="1:13" ht="10.25" customHeight="1" x14ac:dyDescent="0.2">
      <c r="A96" s="389">
        <v>22</v>
      </c>
      <c r="B96" s="416" t="s">
        <v>205</v>
      </c>
      <c r="C96" s="407" t="s">
        <v>206</v>
      </c>
      <c r="D96" s="471"/>
      <c r="E96" s="474"/>
      <c r="F96" s="469"/>
      <c r="G96" s="501" t="s">
        <v>72</v>
      </c>
      <c r="H96" s="503">
        <f>IF(G96='Response Guidelines'!$D$80,'Response Guidelines'!$C$80, IF(G96='Response Guidelines'!$D$81,'Response Guidelines'!$C$81,IF(G96='Response Guidelines'!$D$82,'Response Guidelines'!$C$82,IF(G96='Response Guidelines'!$D$83,'Response Guidelines'!$C$83,IF(G96='Response Guidelines'!$D$84,'Response Guidelines'!$C$84,IF(G96='Response Guidelines'!$D$85,'Response Guidelines'!$C$85,IF(G96='Response Guidelines'!$D$86,'Response Guidelines'!$C$86,"No Rating")))))))</f>
        <v>4</v>
      </c>
      <c r="I96" s="516">
        <f>(H96/$H$127)/_xlfn.XLOOKUP('Scoring Summary'!$D$15,'Response Guidelines'!$D$91:$D$190,'Response Guidelines'!$C$91:$C$190,"",0,1)</f>
        <v>1.2162162162162163E-2</v>
      </c>
      <c r="J96" s="43" t="s">
        <v>179</v>
      </c>
      <c r="K96" s="164">
        <f>I96</f>
        <v>1.2162162162162163E-2</v>
      </c>
      <c r="L96" s="617"/>
      <c r="M96" s="615"/>
    </row>
    <row r="97" spans="1:13" ht="10.25" customHeight="1" x14ac:dyDescent="0.2">
      <c r="A97" s="389"/>
      <c r="B97" s="416"/>
      <c r="C97" s="407"/>
      <c r="D97" s="471"/>
      <c r="E97" s="474"/>
      <c r="F97" s="469"/>
      <c r="G97" s="507"/>
      <c r="H97" s="503"/>
      <c r="I97" s="616"/>
      <c r="J97" s="39" t="s">
        <v>180</v>
      </c>
      <c r="K97" s="110">
        <f>I96*0.6</f>
        <v>7.2972972972972974E-3</v>
      </c>
      <c r="L97" s="617"/>
      <c r="M97" s="615"/>
    </row>
    <row r="98" spans="1:13" ht="10" x14ac:dyDescent="0.2">
      <c r="A98" s="389"/>
      <c r="B98" s="416"/>
      <c r="C98" s="407"/>
      <c r="D98" s="471"/>
      <c r="E98" s="474"/>
      <c r="F98" s="469"/>
      <c r="G98" s="507"/>
      <c r="H98" s="503"/>
      <c r="I98" s="616"/>
      <c r="J98" s="39" t="s">
        <v>142</v>
      </c>
      <c r="K98" s="110">
        <f>I96*0.3</f>
        <v>3.6486486486486487E-3</v>
      </c>
      <c r="L98" s="617"/>
      <c r="M98" s="615"/>
    </row>
    <row r="99" spans="1:13" ht="85.5" customHeight="1" x14ac:dyDescent="0.2">
      <c r="A99" s="389"/>
      <c r="B99" s="416"/>
      <c r="C99" s="407"/>
      <c r="D99" s="471"/>
      <c r="E99" s="474"/>
      <c r="F99" s="469"/>
      <c r="G99" s="502"/>
      <c r="H99" s="503"/>
      <c r="I99" s="517"/>
      <c r="J99" s="41" t="s">
        <v>181</v>
      </c>
      <c r="K99" s="111">
        <v>0</v>
      </c>
      <c r="L99" s="617"/>
      <c r="M99" s="615"/>
    </row>
    <row r="100" spans="1:13" ht="10.25" customHeight="1" x14ac:dyDescent="0.2">
      <c r="A100" s="390">
        <v>23</v>
      </c>
      <c r="B100" s="404" t="s">
        <v>207</v>
      </c>
      <c r="C100" s="401" t="s">
        <v>208</v>
      </c>
      <c r="D100" s="470"/>
      <c r="E100" s="473"/>
      <c r="F100" s="476"/>
      <c r="G100" s="478" t="s">
        <v>37</v>
      </c>
      <c r="H100" s="607">
        <f>IF(G100='Response Guidelines'!$D$80,'Response Guidelines'!$C$80, IF(G100='Response Guidelines'!$D$81,'Response Guidelines'!$C$81,IF(G100='Response Guidelines'!$D$82,'Response Guidelines'!$C$82,IF(G100='Response Guidelines'!$D$83,'Response Guidelines'!$C$83,IF(G100='Response Guidelines'!$D$84,'Response Guidelines'!$C$84,IF(G100='Response Guidelines'!$D$85,'Response Guidelines'!$C$85,IF(G100='Response Guidelines'!$D$86,'Response Guidelines'!$C$86,"No Rating")))))))</f>
        <v>6</v>
      </c>
      <c r="I100" s="609">
        <f>(H100/$H$127)/_xlfn.XLOOKUP('Scoring Summary'!$D$15,'Response Guidelines'!$D$91:$D$190,'Response Guidelines'!$C$91:$C$190,"",0,1)</f>
        <v>1.8243243243243244E-2</v>
      </c>
      <c r="J100" s="188" t="s">
        <v>209</v>
      </c>
      <c r="K100" s="243">
        <f>I100</f>
        <v>1.8243243243243244E-2</v>
      </c>
      <c r="L100" s="612"/>
      <c r="M100" s="505"/>
    </row>
    <row r="101" spans="1:13" ht="10.25" customHeight="1" x14ac:dyDescent="0.2">
      <c r="A101" s="389"/>
      <c r="B101" s="405"/>
      <c r="C101" s="407"/>
      <c r="D101" s="471"/>
      <c r="E101" s="474"/>
      <c r="F101" s="469"/>
      <c r="G101" s="479"/>
      <c r="H101" s="539"/>
      <c r="I101" s="610"/>
      <c r="J101" s="39" t="s">
        <v>186</v>
      </c>
      <c r="K101" s="110">
        <f>I100*0.75</f>
        <v>1.3682432432432433E-2</v>
      </c>
      <c r="L101" s="613"/>
      <c r="M101" s="518"/>
    </row>
    <row r="102" spans="1:13" ht="10.25" customHeight="1" x14ac:dyDescent="0.2">
      <c r="A102" s="389"/>
      <c r="B102" s="405"/>
      <c r="C102" s="407"/>
      <c r="D102" s="471"/>
      <c r="E102" s="474"/>
      <c r="F102" s="469"/>
      <c r="G102" s="479"/>
      <c r="H102" s="539"/>
      <c r="I102" s="610"/>
      <c r="J102" s="39" t="s">
        <v>180</v>
      </c>
      <c r="K102" s="110">
        <f>K100*0.5</f>
        <v>9.1216216216216221E-3</v>
      </c>
      <c r="L102" s="613"/>
      <c r="M102" s="518"/>
    </row>
    <row r="103" spans="1:13" ht="10.25" customHeight="1" x14ac:dyDescent="0.2">
      <c r="A103" s="389"/>
      <c r="B103" s="405"/>
      <c r="C103" s="407"/>
      <c r="D103" s="471"/>
      <c r="E103" s="474"/>
      <c r="F103" s="469"/>
      <c r="G103" s="479"/>
      <c r="H103" s="539"/>
      <c r="I103" s="610"/>
      <c r="J103" s="39" t="s">
        <v>142</v>
      </c>
      <c r="K103" s="110">
        <f>K100*0.25</f>
        <v>4.5608108108108111E-3</v>
      </c>
      <c r="L103" s="613"/>
      <c r="M103" s="518"/>
    </row>
    <row r="104" spans="1:13" ht="96" customHeight="1" x14ac:dyDescent="0.2">
      <c r="A104" s="391"/>
      <c r="B104" s="406"/>
      <c r="C104" s="402"/>
      <c r="D104" s="472"/>
      <c r="E104" s="475"/>
      <c r="F104" s="477"/>
      <c r="G104" s="480"/>
      <c r="H104" s="608"/>
      <c r="I104" s="611"/>
      <c r="J104" s="207" t="s">
        <v>181</v>
      </c>
      <c r="K104" s="236">
        <v>0</v>
      </c>
      <c r="L104" s="614"/>
      <c r="M104" s="506"/>
    </row>
    <row r="105" spans="1:13" ht="20.5" customHeight="1" x14ac:dyDescent="0.2">
      <c r="A105" s="389">
        <v>24</v>
      </c>
      <c r="B105" s="525" t="s">
        <v>210</v>
      </c>
      <c r="C105" s="465" t="s">
        <v>211</v>
      </c>
      <c r="D105" s="412"/>
      <c r="E105" s="481"/>
      <c r="F105" s="467"/>
      <c r="G105" s="488" t="s">
        <v>72</v>
      </c>
      <c r="H105" s="586">
        <f>IF(G105='Response Guidelines'!$D$80,'Response Guidelines'!$C$80, IF(G105='Response Guidelines'!$D$81,'Response Guidelines'!$C$81,IF(G105='Response Guidelines'!$D$82,'Response Guidelines'!$C$82,IF(G105='Response Guidelines'!$D$83,'Response Guidelines'!$C$83,IF(G105='Response Guidelines'!$D$84,'Response Guidelines'!$C$84,IF(G105='Response Guidelines'!$D$85,'Response Guidelines'!$C$85,IF(G105='Response Guidelines'!$D$86,'Response Guidelines'!$C$86,"No Rating")))))))</f>
        <v>4</v>
      </c>
      <c r="I105" s="588">
        <f>(H105/$H$127)/_xlfn.XLOOKUP('Scoring Summary'!$D$15,'Response Guidelines'!$D$91:$D$190,'Response Guidelines'!$C$91:$C$190,"",0,1)</f>
        <v>1.2162162162162163E-2</v>
      </c>
      <c r="J105" s="126" t="s">
        <v>212</v>
      </c>
      <c r="K105" s="116">
        <f>I105</f>
        <v>1.2162162162162163E-2</v>
      </c>
      <c r="L105" s="618"/>
      <c r="M105" s="615"/>
    </row>
    <row r="106" spans="1:13" ht="61.5" customHeight="1" x14ac:dyDescent="0.2">
      <c r="A106" s="389"/>
      <c r="B106" s="526"/>
      <c r="C106" s="466"/>
      <c r="D106" s="413"/>
      <c r="E106" s="482"/>
      <c r="F106" s="468"/>
      <c r="G106" s="490"/>
      <c r="H106" s="587"/>
      <c r="I106" s="589"/>
      <c r="J106" s="123" t="s">
        <v>213</v>
      </c>
      <c r="K106" s="111">
        <v>0</v>
      </c>
      <c r="L106" s="618"/>
      <c r="M106" s="615"/>
    </row>
    <row r="107" spans="1:13" ht="20.5" customHeight="1" x14ac:dyDescent="0.2">
      <c r="A107" s="390">
        <v>25</v>
      </c>
      <c r="B107" s="404" t="s">
        <v>214</v>
      </c>
      <c r="C107" s="401" t="s">
        <v>215</v>
      </c>
      <c r="D107" s="470"/>
      <c r="E107" s="473"/>
      <c r="F107" s="476"/>
      <c r="G107" s="478" t="s">
        <v>71</v>
      </c>
      <c r="H107" s="607">
        <f>IF(G107='Response Guidelines'!$D$80,'Response Guidelines'!$C$80, IF(G107='Response Guidelines'!$D$81,'Response Guidelines'!$C$81,IF(G107='Response Guidelines'!$D$82,'Response Guidelines'!$C$82,IF(G107='Response Guidelines'!$D$83,'Response Guidelines'!$C$83,IF(G107='Response Guidelines'!$D$84,'Response Guidelines'!$C$84,IF(G107='Response Guidelines'!$D$85,'Response Guidelines'!$C$85,IF(G107='Response Guidelines'!$D$86,'Response Guidelines'!$C$86,"No Rating")))))))</f>
        <v>2</v>
      </c>
      <c r="I107" s="609">
        <f>(H107/$H$127)/_xlfn.XLOOKUP('Scoring Summary'!$D$15,'Response Guidelines'!$D$91:$D$190,'Response Guidelines'!$C$91:$C$190,"",0,1)</f>
        <v>6.0810810810810814E-3</v>
      </c>
      <c r="J107" s="188" t="s">
        <v>216</v>
      </c>
      <c r="K107" s="242">
        <f>I107</f>
        <v>6.0810810810810814E-3</v>
      </c>
      <c r="L107" s="612"/>
      <c r="M107" s="505"/>
    </row>
    <row r="108" spans="1:13" ht="51.75" customHeight="1" x14ac:dyDescent="0.2">
      <c r="A108" s="391"/>
      <c r="B108" s="406"/>
      <c r="C108" s="402"/>
      <c r="D108" s="472"/>
      <c r="E108" s="475"/>
      <c r="F108" s="477"/>
      <c r="G108" s="480"/>
      <c r="H108" s="608"/>
      <c r="I108" s="611"/>
      <c r="J108" s="207" t="s">
        <v>217</v>
      </c>
      <c r="K108" s="236">
        <v>0</v>
      </c>
      <c r="L108" s="614"/>
      <c r="M108" s="506"/>
    </row>
    <row r="109" spans="1:13" ht="30.65" customHeight="1" x14ac:dyDescent="0.2">
      <c r="A109" s="389">
        <v>26</v>
      </c>
      <c r="B109" s="405" t="s">
        <v>218</v>
      </c>
      <c r="C109" s="407" t="s">
        <v>219</v>
      </c>
      <c r="D109" s="471"/>
      <c r="E109" s="474"/>
      <c r="F109" s="469"/>
      <c r="G109" s="483" t="s">
        <v>73</v>
      </c>
      <c r="H109" s="539">
        <f>IF(G109='Response Guidelines'!$D$80,'Response Guidelines'!$C$80, IF(G109='Response Guidelines'!$D$81,'Response Guidelines'!$C$81,IF(G109='Response Guidelines'!$D$82,'Response Guidelines'!$C$82,IF(G109='Response Guidelines'!$D$83,'Response Guidelines'!$C$83,IF(G109='Response Guidelines'!$D$84,'Response Guidelines'!$C$84,IF(G109='Response Guidelines'!$D$85,'Response Guidelines'!$C$85,IF(G109='Response Guidelines'!$D$86,'Response Guidelines'!$C$86,"No Rating")))))))</f>
        <v>5</v>
      </c>
      <c r="I109" s="619">
        <f>(H109/$H$127)/_xlfn.XLOOKUP('Scoring Summary'!$D$15,'Response Guidelines'!$D$91:$D$190,'Response Guidelines'!$C$91:$C$190,"",0,1)</f>
        <v>1.5202702702702704E-2</v>
      </c>
      <c r="J109" s="43" t="s">
        <v>220</v>
      </c>
      <c r="K109" s="116">
        <f>I109</f>
        <v>1.5202702702702704E-2</v>
      </c>
      <c r="L109" s="613"/>
      <c r="M109" s="518"/>
    </row>
    <row r="110" spans="1:13" ht="66" customHeight="1" x14ac:dyDescent="0.2">
      <c r="A110" s="389"/>
      <c r="B110" s="405"/>
      <c r="C110" s="407"/>
      <c r="D110" s="471"/>
      <c r="E110" s="474"/>
      <c r="F110" s="469"/>
      <c r="G110" s="484"/>
      <c r="H110" s="539"/>
      <c r="I110" s="620"/>
      <c r="J110" s="41" t="s">
        <v>221</v>
      </c>
      <c r="K110" s="111">
        <v>0</v>
      </c>
      <c r="L110" s="613"/>
      <c r="M110" s="518"/>
    </row>
    <row r="111" spans="1:13" ht="20.5" customHeight="1" x14ac:dyDescent="0.2">
      <c r="A111" s="390">
        <v>27</v>
      </c>
      <c r="B111" s="628" t="s">
        <v>222</v>
      </c>
      <c r="C111" s="393" t="s">
        <v>223</v>
      </c>
      <c r="D111" s="399"/>
      <c r="E111" s="397"/>
      <c r="F111" s="395"/>
      <c r="G111" s="478" t="s">
        <v>73</v>
      </c>
      <c r="H111" s="607">
        <f>IF(G111='Response Guidelines'!$D$80,'Response Guidelines'!$C$80, IF(G111='Response Guidelines'!$D$81,'Response Guidelines'!$C$81,IF(G111='Response Guidelines'!$D$82,'Response Guidelines'!$C$82,IF(G111='Response Guidelines'!$D$83,'Response Guidelines'!$C$83,IF(G111='Response Guidelines'!$D$84,'Response Guidelines'!$C$84,IF(G111='Response Guidelines'!$D$85,'Response Guidelines'!$C$85,IF(G111='Response Guidelines'!$D$86,'Response Guidelines'!$C$86,"No Rating")))))))</f>
        <v>5</v>
      </c>
      <c r="I111" s="609">
        <f>(H111/$H$127)/_xlfn.XLOOKUP('Scoring Summary'!$D$15,'Response Guidelines'!$D$91:$D$190,'Response Guidelines'!$C$91:$C$190,"",0,1)</f>
        <v>1.5202702702702704E-2</v>
      </c>
      <c r="J111" s="188" t="s">
        <v>224</v>
      </c>
      <c r="K111" s="242">
        <f>I111</f>
        <v>1.5202702702702704E-2</v>
      </c>
      <c r="L111" s="612"/>
      <c r="M111" s="505"/>
    </row>
    <row r="112" spans="1:13" ht="64.5" customHeight="1" x14ac:dyDescent="0.2">
      <c r="A112" s="391"/>
      <c r="B112" s="629"/>
      <c r="C112" s="394"/>
      <c r="D112" s="400"/>
      <c r="E112" s="398"/>
      <c r="F112" s="396"/>
      <c r="G112" s="480"/>
      <c r="H112" s="608"/>
      <c r="I112" s="611"/>
      <c r="J112" s="207" t="s">
        <v>225</v>
      </c>
      <c r="K112" s="236">
        <v>0</v>
      </c>
      <c r="L112" s="614"/>
      <c r="M112" s="506"/>
    </row>
    <row r="113" spans="1:13" ht="20.5" customHeight="1" x14ac:dyDescent="0.2">
      <c r="A113" s="389">
        <v>28</v>
      </c>
      <c r="B113" s="405" t="s">
        <v>226</v>
      </c>
      <c r="C113" s="407" t="s">
        <v>227</v>
      </c>
      <c r="D113" s="412"/>
      <c r="E113" s="481"/>
      <c r="F113" s="467"/>
      <c r="G113" s="488" t="s">
        <v>72</v>
      </c>
      <c r="H113" s="586">
        <f>IF(G113='Response Guidelines'!$D$80,'Response Guidelines'!$C$80, IF(G113='Response Guidelines'!$D$81,'Response Guidelines'!$C$81,IF(G113='Response Guidelines'!$D$82,'Response Guidelines'!$C$82,IF(G113='Response Guidelines'!$D$83,'Response Guidelines'!$C$83,IF(G113='Response Guidelines'!$D$84,'Response Guidelines'!$C$84,IF(G113='Response Guidelines'!$D$85,'Response Guidelines'!$C$85,IF(G113='Response Guidelines'!$D$86,'Response Guidelines'!$C$86,"No Rating")))))))</f>
        <v>4</v>
      </c>
      <c r="I113" s="619">
        <f>(H113/$H$127)/_xlfn.XLOOKUP('Scoring Summary'!$D$15,'Response Guidelines'!$D$91:$D$190,'Response Guidelines'!$C$91:$C$190,"",0,1)</f>
        <v>1.2162162162162163E-2</v>
      </c>
      <c r="J113" s="43" t="s">
        <v>228</v>
      </c>
      <c r="K113" s="116">
        <f>I113</f>
        <v>1.2162162162162163E-2</v>
      </c>
      <c r="L113" s="613"/>
      <c r="M113" s="518"/>
    </row>
    <row r="114" spans="1:13" ht="61.5" customHeight="1" x14ac:dyDescent="0.2">
      <c r="A114" s="389"/>
      <c r="B114" s="405"/>
      <c r="C114" s="407"/>
      <c r="D114" s="413"/>
      <c r="E114" s="482"/>
      <c r="F114" s="468"/>
      <c r="G114" s="490"/>
      <c r="H114" s="587"/>
      <c r="I114" s="620"/>
      <c r="J114" s="160" t="s">
        <v>229</v>
      </c>
      <c r="K114" s="111">
        <v>0</v>
      </c>
      <c r="L114" s="621"/>
      <c r="M114" s="518"/>
    </row>
    <row r="115" spans="1:13" ht="20.5" customHeight="1" x14ac:dyDescent="0.2">
      <c r="A115" s="390">
        <v>29</v>
      </c>
      <c r="B115" s="404" t="s">
        <v>230</v>
      </c>
      <c r="C115" s="401" t="s">
        <v>231</v>
      </c>
      <c r="D115" s="399"/>
      <c r="E115" s="397"/>
      <c r="F115" s="395"/>
      <c r="G115" s="478" t="s">
        <v>73</v>
      </c>
      <c r="H115" s="607">
        <f>IF(G115='Response Guidelines'!$D$80,'Response Guidelines'!$C$80, IF(G115='Response Guidelines'!$D$81,'Response Guidelines'!$C$81,IF(G115='Response Guidelines'!$D$82,'Response Guidelines'!$C$82,IF(G115='Response Guidelines'!$D$83,'Response Guidelines'!$C$83,IF(G115='Response Guidelines'!$D$84,'Response Guidelines'!$C$84,IF(G115='Response Guidelines'!$D$85,'Response Guidelines'!$C$85,IF(G115='Response Guidelines'!$D$86,'Response Guidelines'!$C$86,"No Rating")))))))</f>
        <v>5</v>
      </c>
      <c r="I115" s="609">
        <f>(H115/$H$127)/_xlfn.XLOOKUP('Scoring Summary'!$D$15,'Response Guidelines'!$D$91:$D$190,'Response Guidelines'!$C$91:$C$190,"",0,1)</f>
        <v>1.5202702702702704E-2</v>
      </c>
      <c r="J115" s="188" t="s">
        <v>232</v>
      </c>
      <c r="K115" s="242">
        <f>I115</f>
        <v>1.5202702702702704E-2</v>
      </c>
      <c r="L115" s="612"/>
      <c r="M115" s="505"/>
    </row>
    <row r="116" spans="1:13" ht="72.75" customHeight="1" x14ac:dyDescent="0.2">
      <c r="A116" s="391"/>
      <c r="B116" s="406"/>
      <c r="C116" s="402"/>
      <c r="D116" s="400"/>
      <c r="E116" s="398"/>
      <c r="F116" s="396"/>
      <c r="G116" s="480"/>
      <c r="H116" s="608"/>
      <c r="I116" s="611"/>
      <c r="J116" s="207" t="s">
        <v>233</v>
      </c>
      <c r="K116" s="236">
        <v>0</v>
      </c>
      <c r="L116" s="614"/>
      <c r="M116" s="506"/>
    </row>
    <row r="117" spans="1:13" ht="20.5" customHeight="1" x14ac:dyDescent="0.2">
      <c r="A117" s="389">
        <v>30</v>
      </c>
      <c r="B117" s="405" t="s">
        <v>234</v>
      </c>
      <c r="C117" s="407" t="s">
        <v>235</v>
      </c>
      <c r="D117" s="471"/>
      <c r="E117" s="474"/>
      <c r="F117" s="469"/>
      <c r="G117" s="483" t="s">
        <v>72</v>
      </c>
      <c r="H117" s="539">
        <f>IF(G117='Response Guidelines'!$D$80,'Response Guidelines'!$C$80, IF(G117='Response Guidelines'!$D$81,'Response Guidelines'!$C$81,IF(G117='Response Guidelines'!$D$82,'Response Guidelines'!$C$82,IF(G117='Response Guidelines'!$D$83,'Response Guidelines'!$C$83,IF(G117='Response Guidelines'!$D$84,'Response Guidelines'!$C$84,IF(G117='Response Guidelines'!$D$85,'Response Guidelines'!$C$85,IF(G117='Response Guidelines'!$D$86,'Response Guidelines'!$C$86,"No Rating")))))))</f>
        <v>4</v>
      </c>
      <c r="I117" s="619">
        <f>(H117/$H$127)/_xlfn.XLOOKUP('Scoring Summary'!$D$15,'Response Guidelines'!$D$91:$D$190,'Response Guidelines'!$C$91:$C$190,"",0,1)</f>
        <v>1.2162162162162163E-2</v>
      </c>
      <c r="J117" s="43" t="s">
        <v>236</v>
      </c>
      <c r="K117" s="116">
        <f>I117</f>
        <v>1.2162162162162163E-2</v>
      </c>
      <c r="L117" s="613"/>
      <c r="M117" s="518"/>
    </row>
    <row r="118" spans="1:13" ht="36.75" customHeight="1" x14ac:dyDescent="0.2">
      <c r="A118" s="389"/>
      <c r="B118" s="405"/>
      <c r="C118" s="407"/>
      <c r="D118" s="471"/>
      <c r="E118" s="474"/>
      <c r="F118" s="469"/>
      <c r="G118" s="484"/>
      <c r="H118" s="539"/>
      <c r="I118" s="620"/>
      <c r="J118" s="41" t="s">
        <v>237</v>
      </c>
      <c r="K118" s="111">
        <v>0</v>
      </c>
      <c r="L118" s="613"/>
      <c r="M118" s="518"/>
    </row>
    <row r="119" spans="1:13" ht="20.5" customHeight="1" x14ac:dyDescent="0.2">
      <c r="A119" s="390">
        <v>31</v>
      </c>
      <c r="B119" s="404" t="s">
        <v>238</v>
      </c>
      <c r="C119" s="401" t="s">
        <v>239</v>
      </c>
      <c r="D119" s="470"/>
      <c r="E119" s="473"/>
      <c r="F119" s="476"/>
      <c r="G119" s="478" t="s">
        <v>73</v>
      </c>
      <c r="H119" s="607">
        <f>IF(G119='Response Guidelines'!$D$80,'Response Guidelines'!$C$80, IF(G119='Response Guidelines'!$D$81,'Response Guidelines'!$C$81,IF(G119='Response Guidelines'!$D$82,'Response Guidelines'!$C$82,IF(G119='Response Guidelines'!$D$83,'Response Guidelines'!$C$83,IF(G119='Response Guidelines'!$D$84,'Response Guidelines'!$C$84,IF(G119='Response Guidelines'!$D$85,'Response Guidelines'!$C$85,IF(G119='Response Guidelines'!$D$86,'Response Guidelines'!$C$86,"No Rating")))))))</f>
        <v>5</v>
      </c>
      <c r="I119" s="609">
        <f>(H119/$H$127)/_xlfn.XLOOKUP('Scoring Summary'!$D$15,'Response Guidelines'!$D$91:$D$190,'Response Guidelines'!$C$91:$C$190,"",0,1)</f>
        <v>1.5202702702702704E-2</v>
      </c>
      <c r="J119" s="188" t="s">
        <v>240</v>
      </c>
      <c r="K119" s="242">
        <f>I119</f>
        <v>1.5202702702702704E-2</v>
      </c>
      <c r="L119" s="612"/>
      <c r="M119" s="505"/>
    </row>
    <row r="120" spans="1:13" ht="76.5" customHeight="1" x14ac:dyDescent="0.2">
      <c r="A120" s="391"/>
      <c r="B120" s="406"/>
      <c r="C120" s="402"/>
      <c r="D120" s="472"/>
      <c r="E120" s="475"/>
      <c r="F120" s="477"/>
      <c r="G120" s="480"/>
      <c r="H120" s="608"/>
      <c r="I120" s="611"/>
      <c r="J120" s="189" t="s">
        <v>241</v>
      </c>
      <c r="K120" s="236">
        <v>0</v>
      </c>
      <c r="L120" s="614"/>
      <c r="M120" s="506"/>
    </row>
    <row r="121" spans="1:13" ht="20.5" customHeight="1" x14ac:dyDescent="0.2">
      <c r="A121" s="389">
        <v>32</v>
      </c>
      <c r="B121" s="405" t="s">
        <v>242</v>
      </c>
      <c r="C121" s="407" t="s">
        <v>243</v>
      </c>
      <c r="D121" s="471"/>
      <c r="E121" s="474"/>
      <c r="F121" s="469"/>
      <c r="G121" s="483" t="s">
        <v>33</v>
      </c>
      <c r="H121" s="539">
        <f>IF(G121='Response Guidelines'!$D$80,'Response Guidelines'!$C$80, IF(G121='Response Guidelines'!$D$81,'Response Guidelines'!$C$81,IF(G121='Response Guidelines'!$D$82,'Response Guidelines'!$C$82,IF(G121='Response Guidelines'!$D$83,'Response Guidelines'!$C$83,IF(G121='Response Guidelines'!$D$84,'Response Guidelines'!$C$84,IF(G121='Response Guidelines'!$D$85,'Response Guidelines'!$C$85,IF(G121='Response Guidelines'!$D$86,'Response Guidelines'!$C$86,"No Rating")))))))</f>
        <v>3</v>
      </c>
      <c r="I121" s="619">
        <f>(H121/$H$127)/_xlfn.XLOOKUP('Scoring Summary'!$D$15,'Response Guidelines'!$D$91:$D$190,'Response Guidelines'!$C$91:$C$190,"",0,1)</f>
        <v>9.1216216216216221E-3</v>
      </c>
      <c r="J121" s="43" t="s">
        <v>244</v>
      </c>
      <c r="K121" s="116">
        <f>I121</f>
        <v>9.1216216216216221E-3</v>
      </c>
      <c r="L121" s="613"/>
      <c r="M121" s="518"/>
    </row>
    <row r="122" spans="1:13" ht="62.25" customHeight="1" x14ac:dyDescent="0.2">
      <c r="A122" s="389"/>
      <c r="B122" s="405"/>
      <c r="C122" s="407"/>
      <c r="D122" s="471"/>
      <c r="E122" s="474"/>
      <c r="F122" s="469"/>
      <c r="G122" s="484"/>
      <c r="H122" s="539"/>
      <c r="I122" s="620"/>
      <c r="J122" s="160" t="s">
        <v>245</v>
      </c>
      <c r="K122" s="111">
        <v>0</v>
      </c>
      <c r="L122" s="613"/>
      <c r="M122" s="518"/>
    </row>
    <row r="123" spans="1:13" ht="10" x14ac:dyDescent="0.2">
      <c r="A123" s="392">
        <v>33</v>
      </c>
      <c r="B123" s="404" t="s">
        <v>246</v>
      </c>
      <c r="C123" s="401" t="s">
        <v>247</v>
      </c>
      <c r="D123" s="408"/>
      <c r="E123" s="397"/>
      <c r="F123" s="395"/>
      <c r="G123" s="478" t="s">
        <v>73</v>
      </c>
      <c r="H123" s="607">
        <f>IF(G123='Response Guidelines'!$D$80,'Response Guidelines'!$C$80, IF(G123='Response Guidelines'!$D$81,'Response Guidelines'!$C$81,IF(G123='Response Guidelines'!$D$82,'Response Guidelines'!$C$82,IF(G123='Response Guidelines'!$D$83,'Response Guidelines'!$C$83,IF(G123='Response Guidelines'!$D$84,'Response Guidelines'!$C$84,IF(G123='Response Guidelines'!$D$85,'Response Guidelines'!$C$85,IF(G123='Response Guidelines'!$D$86,'Response Guidelines'!$C$86,"No Rating")))))))</f>
        <v>5</v>
      </c>
      <c r="I123" s="609">
        <f>(H123/$H$127)/_xlfn.XLOOKUP('Scoring Summary'!$D$15,'Response Guidelines'!$D$91:$D$190,'Response Guidelines'!$C$91:$C$190,"",0,1)</f>
        <v>1.5202702702702704E-2</v>
      </c>
      <c r="J123" s="188" t="s">
        <v>248</v>
      </c>
      <c r="K123" s="242">
        <f>I123</f>
        <v>1.5202702702702704E-2</v>
      </c>
      <c r="L123" s="612"/>
      <c r="M123" s="505"/>
    </row>
    <row r="124" spans="1:13" ht="10.25" customHeight="1" x14ac:dyDescent="0.2">
      <c r="A124" s="389"/>
      <c r="B124" s="405"/>
      <c r="C124" s="407"/>
      <c r="D124" s="409"/>
      <c r="E124" s="411"/>
      <c r="F124" s="403"/>
      <c r="G124" s="479"/>
      <c r="H124" s="539"/>
      <c r="I124" s="610"/>
      <c r="J124" s="39" t="s">
        <v>173</v>
      </c>
      <c r="K124" s="111">
        <f>K123*0.66</f>
        <v>1.0033783783783785E-2</v>
      </c>
      <c r="L124" s="613"/>
      <c r="M124" s="518"/>
    </row>
    <row r="125" spans="1:13" ht="10.25" customHeight="1" x14ac:dyDescent="0.2">
      <c r="A125" s="389"/>
      <c r="B125" s="405"/>
      <c r="C125" s="407"/>
      <c r="D125" s="409"/>
      <c r="E125" s="411"/>
      <c r="F125" s="403"/>
      <c r="G125" s="479"/>
      <c r="H125" s="539"/>
      <c r="I125" s="610"/>
      <c r="J125" s="39" t="s">
        <v>249</v>
      </c>
      <c r="K125" s="111">
        <f>K123*0.33</f>
        <v>5.0168918918918927E-3</v>
      </c>
      <c r="L125" s="613"/>
      <c r="M125" s="518"/>
    </row>
    <row r="126" spans="1:13" ht="81" customHeight="1" x14ac:dyDescent="0.2">
      <c r="A126" s="391"/>
      <c r="B126" s="406"/>
      <c r="C126" s="402"/>
      <c r="D126" s="410"/>
      <c r="E126" s="398"/>
      <c r="F126" s="396"/>
      <c r="G126" s="480"/>
      <c r="H126" s="608"/>
      <c r="I126" s="611"/>
      <c r="J126" s="207" t="s">
        <v>175</v>
      </c>
      <c r="K126" s="236">
        <v>0</v>
      </c>
      <c r="L126" s="614"/>
      <c r="M126" s="506"/>
    </row>
    <row r="127" spans="1:13" x14ac:dyDescent="0.2">
      <c r="B127" s="34" t="s">
        <v>43</v>
      </c>
      <c r="C127" s="34"/>
      <c r="D127" s="34"/>
      <c r="E127" s="34"/>
      <c r="F127" s="34"/>
      <c r="G127" s="34"/>
      <c r="H127" s="33">
        <f>SUM(H12:H126)</f>
        <v>148</v>
      </c>
      <c r="I127" s="32">
        <f>SUM(I12:I126)</f>
        <v>0.44999999999999979</v>
      </c>
      <c r="J127" s="302" t="s">
        <v>44</v>
      </c>
      <c r="K127" s="303"/>
      <c r="L127" s="250">
        <f>SUM(L12:L126)</f>
        <v>0</v>
      </c>
      <c r="M127" s="251"/>
    </row>
  </sheetData>
  <mergeCells count="367">
    <mergeCell ref="B111:B112"/>
    <mergeCell ref="B113:B114"/>
    <mergeCell ref="G123:G126"/>
    <mergeCell ref="H123:H126"/>
    <mergeCell ref="I123:I126"/>
    <mergeCell ref="L121:L122"/>
    <mergeCell ref="M121:M122"/>
    <mergeCell ref="L123:L126"/>
    <mergeCell ref="M123:M126"/>
    <mergeCell ref="H121:H122"/>
    <mergeCell ref="I121:I122"/>
    <mergeCell ref="C121:C122"/>
    <mergeCell ref="D121:D122"/>
    <mergeCell ref="E121:E122"/>
    <mergeCell ref="F121:F122"/>
    <mergeCell ref="B115:B116"/>
    <mergeCell ref="A38:A39"/>
    <mergeCell ref="A40:A54"/>
    <mergeCell ref="A55:A64"/>
    <mergeCell ref="A65:A68"/>
    <mergeCell ref="A69:A74"/>
    <mergeCell ref="A75:A78"/>
    <mergeCell ref="A79:A81"/>
    <mergeCell ref="A82:A88"/>
    <mergeCell ref="G121:G122"/>
    <mergeCell ref="G111:G112"/>
    <mergeCell ref="F117:F118"/>
    <mergeCell ref="F119:F120"/>
    <mergeCell ref="G117:G118"/>
    <mergeCell ref="G119:G120"/>
    <mergeCell ref="G115:G116"/>
    <mergeCell ref="G113:G114"/>
    <mergeCell ref="B121:B122"/>
    <mergeCell ref="E113:E114"/>
    <mergeCell ref="F113:F114"/>
    <mergeCell ref="E119:E120"/>
    <mergeCell ref="D119:D120"/>
    <mergeCell ref="D117:D118"/>
    <mergeCell ref="E117:E118"/>
    <mergeCell ref="B117:B118"/>
    <mergeCell ref="L109:L110"/>
    <mergeCell ref="L111:L112"/>
    <mergeCell ref="L113:L114"/>
    <mergeCell ref="L115:L116"/>
    <mergeCell ref="L117:L118"/>
    <mergeCell ref="L119:L120"/>
    <mergeCell ref="M119:M120"/>
    <mergeCell ref="M117:M118"/>
    <mergeCell ref="M115:M116"/>
    <mergeCell ref="M113:M114"/>
    <mergeCell ref="M111:M112"/>
    <mergeCell ref="M109:M110"/>
    <mergeCell ref="H109:H110"/>
    <mergeCell ref="H117:H118"/>
    <mergeCell ref="H119:H120"/>
    <mergeCell ref="I105:I106"/>
    <mergeCell ref="I107:I108"/>
    <mergeCell ref="I109:I110"/>
    <mergeCell ref="I117:I118"/>
    <mergeCell ref="I119:I120"/>
    <mergeCell ref="I115:I116"/>
    <mergeCell ref="H115:H116"/>
    <mergeCell ref="I111:I112"/>
    <mergeCell ref="H111:H112"/>
    <mergeCell ref="H113:H114"/>
    <mergeCell ref="I113:I114"/>
    <mergeCell ref="H100:H104"/>
    <mergeCell ref="I100:I104"/>
    <mergeCell ref="L100:L104"/>
    <mergeCell ref="M100:M104"/>
    <mergeCell ref="M96:M99"/>
    <mergeCell ref="H96:H99"/>
    <mergeCell ref="I96:I99"/>
    <mergeCell ref="H105:H106"/>
    <mergeCell ref="H107:H108"/>
    <mergeCell ref="L96:L99"/>
    <mergeCell ref="M105:M106"/>
    <mergeCell ref="L105:L106"/>
    <mergeCell ref="L107:L108"/>
    <mergeCell ref="M107:M108"/>
    <mergeCell ref="C18:C19"/>
    <mergeCell ref="D18:D19"/>
    <mergeCell ref="E18:E19"/>
    <mergeCell ref="G18:G19"/>
    <mergeCell ref="A36:A37"/>
    <mergeCell ref="B36:B37"/>
    <mergeCell ref="C36:C37"/>
    <mergeCell ref="D36:D37"/>
    <mergeCell ref="E36:E37"/>
    <mergeCell ref="G36:G37"/>
    <mergeCell ref="A34:A35"/>
    <mergeCell ref="B34:B35"/>
    <mergeCell ref="C34:C35"/>
    <mergeCell ref="D34:D35"/>
    <mergeCell ref="E34:E35"/>
    <mergeCell ref="A32:A33"/>
    <mergeCell ref="B32:B33"/>
    <mergeCell ref="C32:C33"/>
    <mergeCell ref="D32:D33"/>
    <mergeCell ref="E32:E33"/>
    <mergeCell ref="A10:A11"/>
    <mergeCell ref="B10:C10"/>
    <mergeCell ref="D10:F10"/>
    <mergeCell ref="F12:F15"/>
    <mergeCell ref="G12:G15"/>
    <mergeCell ref="A12:A15"/>
    <mergeCell ref="B12:B15"/>
    <mergeCell ref="C12:C15"/>
    <mergeCell ref="D12:D15"/>
    <mergeCell ref="E12:E15"/>
    <mergeCell ref="H12:H15"/>
    <mergeCell ref="I12:I15"/>
    <mergeCell ref="L12:L15"/>
    <mergeCell ref="M12:M15"/>
    <mergeCell ref="A16:A17"/>
    <mergeCell ref="B16:B17"/>
    <mergeCell ref="C16:C17"/>
    <mergeCell ref="D16:D17"/>
    <mergeCell ref="E16:E17"/>
    <mergeCell ref="G16:G17"/>
    <mergeCell ref="H16:H17"/>
    <mergeCell ref="I16:I17"/>
    <mergeCell ref="L16:L17"/>
    <mergeCell ref="M16:M17"/>
    <mergeCell ref="F16:F17"/>
    <mergeCell ref="L18:L19"/>
    <mergeCell ref="M18:M19"/>
    <mergeCell ref="F18:F19"/>
    <mergeCell ref="A25:A26"/>
    <mergeCell ref="B25:B26"/>
    <mergeCell ref="C25:C26"/>
    <mergeCell ref="D25:D26"/>
    <mergeCell ref="E25:E26"/>
    <mergeCell ref="A20:A24"/>
    <mergeCell ref="B20:B24"/>
    <mergeCell ref="C20:C24"/>
    <mergeCell ref="D20:D24"/>
    <mergeCell ref="E20:E24"/>
    <mergeCell ref="G20:G24"/>
    <mergeCell ref="H20:H24"/>
    <mergeCell ref="I20:I24"/>
    <mergeCell ref="L20:L24"/>
    <mergeCell ref="M20:M24"/>
    <mergeCell ref="F20:F24"/>
    <mergeCell ref="F25:F26"/>
    <mergeCell ref="G25:G26"/>
    <mergeCell ref="H25:H26"/>
    <mergeCell ref="A18:A19"/>
    <mergeCell ref="B18:B19"/>
    <mergeCell ref="M25:M26"/>
    <mergeCell ref="A29:A31"/>
    <mergeCell ref="B29:B31"/>
    <mergeCell ref="C29:C31"/>
    <mergeCell ref="D29:D31"/>
    <mergeCell ref="E29:E31"/>
    <mergeCell ref="A27:A28"/>
    <mergeCell ref="B27:B28"/>
    <mergeCell ref="C27:C28"/>
    <mergeCell ref="D27:D28"/>
    <mergeCell ref="E27:E28"/>
    <mergeCell ref="G27:G28"/>
    <mergeCell ref="H27:H28"/>
    <mergeCell ref="I27:I28"/>
    <mergeCell ref="L27:L28"/>
    <mergeCell ref="M27:M28"/>
    <mergeCell ref="F27:F28"/>
    <mergeCell ref="F29:F31"/>
    <mergeCell ref="G29:G31"/>
    <mergeCell ref="H29:H31"/>
    <mergeCell ref="I29:I31"/>
    <mergeCell ref="L29:L31"/>
    <mergeCell ref="I25:I26"/>
    <mergeCell ref="L25:L26"/>
    <mergeCell ref="I38:I39"/>
    <mergeCell ref="C38:C39"/>
    <mergeCell ref="D38:D39"/>
    <mergeCell ref="E38:E39"/>
    <mergeCell ref="M36:M37"/>
    <mergeCell ref="F36:F37"/>
    <mergeCell ref="M29:M31"/>
    <mergeCell ref="G32:G33"/>
    <mergeCell ref="H32:H33"/>
    <mergeCell ref="I32:I33"/>
    <mergeCell ref="L32:L33"/>
    <mergeCell ref="M32:M33"/>
    <mergeCell ref="F32:F33"/>
    <mergeCell ref="F34:F35"/>
    <mergeCell ref="G34:G35"/>
    <mergeCell ref="H34:H35"/>
    <mergeCell ref="I34:I35"/>
    <mergeCell ref="L34:L35"/>
    <mergeCell ref="M34:M35"/>
    <mergeCell ref="L36:L37"/>
    <mergeCell ref="L38:L39"/>
    <mergeCell ref="M38:M39"/>
    <mergeCell ref="B75:B78"/>
    <mergeCell ref="C75:C78"/>
    <mergeCell ref="B82:B88"/>
    <mergeCell ref="I55:I64"/>
    <mergeCell ref="G40:G54"/>
    <mergeCell ref="H40:H54"/>
    <mergeCell ref="I40:I54"/>
    <mergeCell ref="C40:C54"/>
    <mergeCell ref="D40:D54"/>
    <mergeCell ref="E40:E54"/>
    <mergeCell ref="F40:F54"/>
    <mergeCell ref="B40:B54"/>
    <mergeCell ref="B55:B64"/>
    <mergeCell ref="D55:D64"/>
    <mergeCell ref="E55:E64"/>
    <mergeCell ref="F55:F64"/>
    <mergeCell ref="M55:M64"/>
    <mergeCell ref="M40:M54"/>
    <mergeCell ref="G107:G108"/>
    <mergeCell ref="B96:B99"/>
    <mergeCell ref="C96:C99"/>
    <mergeCell ref="D96:D99"/>
    <mergeCell ref="E96:E99"/>
    <mergeCell ref="F96:F99"/>
    <mergeCell ref="G105:G106"/>
    <mergeCell ref="D107:D108"/>
    <mergeCell ref="E107:E108"/>
    <mergeCell ref="F107:F108"/>
    <mergeCell ref="B105:B106"/>
    <mergeCell ref="B107:B108"/>
    <mergeCell ref="G96:G99"/>
    <mergeCell ref="B100:B104"/>
    <mergeCell ref="C100:C104"/>
    <mergeCell ref="G94:G95"/>
    <mergeCell ref="M65:M68"/>
    <mergeCell ref="F65:F68"/>
    <mergeCell ref="F69:F74"/>
    <mergeCell ref="G69:G74"/>
    <mergeCell ref="H69:H74"/>
    <mergeCell ref="I69:I74"/>
    <mergeCell ref="L65:L68"/>
    <mergeCell ref="M94:M95"/>
    <mergeCell ref="G75:G78"/>
    <mergeCell ref="H75:H78"/>
    <mergeCell ref="I75:I78"/>
    <mergeCell ref="L75:L78"/>
    <mergeCell ref="M75:M78"/>
    <mergeCell ref="G79:G81"/>
    <mergeCell ref="H79:H81"/>
    <mergeCell ref="I79:I81"/>
    <mergeCell ref="G89:G91"/>
    <mergeCell ref="H89:H91"/>
    <mergeCell ref="L79:L81"/>
    <mergeCell ref="M79:M81"/>
    <mergeCell ref="I92:I93"/>
    <mergeCell ref="L82:L88"/>
    <mergeCell ref="M82:M88"/>
    <mergeCell ref="M89:M91"/>
    <mergeCell ref="M92:M93"/>
    <mergeCell ref="L69:L74"/>
    <mergeCell ref="M69:M74"/>
    <mergeCell ref="E2:G2"/>
    <mergeCell ref="E92:E93"/>
    <mergeCell ref="I94:I95"/>
    <mergeCell ref="L94:L95"/>
    <mergeCell ref="L92:L93"/>
    <mergeCell ref="D92:D93"/>
    <mergeCell ref="G82:G88"/>
    <mergeCell ref="H82:H88"/>
    <mergeCell ref="I82:I88"/>
    <mergeCell ref="D89:D91"/>
    <mergeCell ref="E89:E91"/>
    <mergeCell ref="D82:D88"/>
    <mergeCell ref="E82:E88"/>
    <mergeCell ref="E94:E95"/>
    <mergeCell ref="I89:I91"/>
    <mergeCell ref="L89:L91"/>
    <mergeCell ref="G55:G64"/>
    <mergeCell ref="H36:H37"/>
    <mergeCell ref="I36:I37"/>
    <mergeCell ref="G92:G93"/>
    <mergeCell ref="H92:H93"/>
    <mergeCell ref="H94:H95"/>
    <mergeCell ref="D79:D81"/>
    <mergeCell ref="E79:E81"/>
    <mergeCell ref="L40:L48"/>
    <mergeCell ref="H38:H39"/>
    <mergeCell ref="J127:K127"/>
    <mergeCell ref="F111:F112"/>
    <mergeCell ref="C105:C106"/>
    <mergeCell ref="C107:C108"/>
    <mergeCell ref="C109:C110"/>
    <mergeCell ref="F105:F106"/>
    <mergeCell ref="F109:F110"/>
    <mergeCell ref="D100:D104"/>
    <mergeCell ref="E100:E104"/>
    <mergeCell ref="F100:F104"/>
    <mergeCell ref="G100:G104"/>
    <mergeCell ref="E105:E106"/>
    <mergeCell ref="D105:D106"/>
    <mergeCell ref="G109:G110"/>
    <mergeCell ref="E109:E110"/>
    <mergeCell ref="D109:D110"/>
    <mergeCell ref="C79:C81"/>
    <mergeCell ref="C82:C88"/>
    <mergeCell ref="F94:F95"/>
    <mergeCell ref="F89:F91"/>
    <mergeCell ref="D94:D95"/>
    <mergeCell ref="F92:F93"/>
    <mergeCell ref="B38:B39"/>
    <mergeCell ref="H18:H19"/>
    <mergeCell ref="I18:I19"/>
    <mergeCell ref="F38:F39"/>
    <mergeCell ref="G38:G39"/>
    <mergeCell ref="B79:B81"/>
    <mergeCell ref="F82:F88"/>
    <mergeCell ref="D75:D78"/>
    <mergeCell ref="E75:E78"/>
    <mergeCell ref="B65:B68"/>
    <mergeCell ref="C65:C68"/>
    <mergeCell ref="D65:D68"/>
    <mergeCell ref="E65:E68"/>
    <mergeCell ref="C55:C64"/>
    <mergeCell ref="H55:H64"/>
    <mergeCell ref="G65:G68"/>
    <mergeCell ref="H65:H68"/>
    <mergeCell ref="I65:I68"/>
    <mergeCell ref="B69:B74"/>
    <mergeCell ref="C69:C74"/>
    <mergeCell ref="D69:D74"/>
    <mergeCell ref="E69:E74"/>
    <mergeCell ref="F75:F78"/>
    <mergeCell ref="F79:F81"/>
    <mergeCell ref="B94:B95"/>
    <mergeCell ref="B92:B93"/>
    <mergeCell ref="B109:B110"/>
    <mergeCell ref="C92:C93"/>
    <mergeCell ref="A89:A91"/>
    <mergeCell ref="A92:A93"/>
    <mergeCell ref="A94:A95"/>
    <mergeCell ref="A96:A99"/>
    <mergeCell ref="A100:A104"/>
    <mergeCell ref="A105:A106"/>
    <mergeCell ref="A107:A108"/>
    <mergeCell ref="A109:A110"/>
    <mergeCell ref="B89:B91"/>
    <mergeCell ref="C89:C91"/>
    <mergeCell ref="C94:C95"/>
    <mergeCell ref="A117:A118"/>
    <mergeCell ref="A119:A120"/>
    <mergeCell ref="A121:A122"/>
    <mergeCell ref="A123:A126"/>
    <mergeCell ref="C111:C112"/>
    <mergeCell ref="F115:F116"/>
    <mergeCell ref="E115:E116"/>
    <mergeCell ref="D115:D116"/>
    <mergeCell ref="C115:C116"/>
    <mergeCell ref="A111:A112"/>
    <mergeCell ref="A113:A114"/>
    <mergeCell ref="A115:A116"/>
    <mergeCell ref="E111:E112"/>
    <mergeCell ref="D111:D112"/>
    <mergeCell ref="C119:C120"/>
    <mergeCell ref="F123:F126"/>
    <mergeCell ref="B123:B126"/>
    <mergeCell ref="C123:C126"/>
    <mergeCell ref="D123:D126"/>
    <mergeCell ref="E123:E126"/>
    <mergeCell ref="B119:B120"/>
    <mergeCell ref="C117:C118"/>
    <mergeCell ref="C113:C114"/>
    <mergeCell ref="D113:D114"/>
  </mergeCells>
  <dataValidations count="19">
    <dataValidation type="list" allowBlank="1" showInputMessage="1" showErrorMessage="1" sqref="D69:D74" xr:uid="{00000000-0002-0000-0400-000004000000}">
      <formula1>$J$69:$J$74</formula1>
    </dataValidation>
    <dataValidation type="list" allowBlank="1" showInputMessage="1" showErrorMessage="1" sqref="D20:D24" xr:uid="{00000000-0002-0000-0400-00000D000000}">
      <formula1>$J$20:$J$24</formula1>
    </dataValidation>
    <dataValidation type="list" allowBlank="1" showInputMessage="1" showErrorMessage="1" sqref="D25:D26" xr:uid="{00000000-0002-0000-0400-00000C000000}">
      <formula1>$J$25:$J$26</formula1>
    </dataValidation>
    <dataValidation type="list" allowBlank="1" showInputMessage="1" showErrorMessage="1" sqref="D18:D19" xr:uid="{00000000-0002-0000-0400-00000E000000}">
      <formula1>$J$18:$J$19</formula1>
    </dataValidation>
    <dataValidation type="list" allowBlank="1" showInputMessage="1" showErrorMessage="1" sqref="D27:D28" xr:uid="{00000000-0002-0000-0400-00000B000000}">
      <formula1>$J$27:$J$28</formula1>
    </dataValidation>
    <dataValidation type="list" allowBlank="1" showInputMessage="1" showErrorMessage="1" sqref="D32:D33" xr:uid="{00000000-0002-0000-0400-000009000000}">
      <formula1>$J$32:$J$33</formula1>
    </dataValidation>
    <dataValidation type="list" allowBlank="1" showInputMessage="1" showErrorMessage="1" sqref="D29:D31" xr:uid="{00000000-0002-0000-0400-00000A000000}">
      <formula1>$J$29:$J$31</formula1>
    </dataValidation>
    <dataValidation type="list" allowBlank="1" showInputMessage="1" showErrorMessage="1" sqref="D34:D35" xr:uid="{00000000-0002-0000-0400-000008000000}">
      <formula1>$J$34:$J$35</formula1>
    </dataValidation>
    <dataValidation type="list" allowBlank="1" showInputMessage="1" showErrorMessage="1" sqref="D65:D68" xr:uid="{00000000-0002-0000-0400-000005000000}">
      <formula1>$J$65:$J$68</formula1>
    </dataValidation>
    <dataValidation type="list" allowBlank="1" showInputMessage="1" showErrorMessage="1" sqref="D75:D78" xr:uid="{00000000-0002-0000-0400-000003000000}">
      <formula1>$J$75:$J$78</formula1>
    </dataValidation>
    <dataValidation type="list" allowBlank="1" showInputMessage="1" showErrorMessage="1" sqref="D79:D81" xr:uid="{00000000-0002-0000-0400-000002000000}">
      <formula1>$J$79:$J$81</formula1>
    </dataValidation>
    <dataValidation type="list" allowBlank="1" showInputMessage="1" showErrorMessage="1" sqref="D82:D88" xr:uid="{00000000-0002-0000-0400-000001000000}">
      <formula1>$J$82:$J$88</formula1>
    </dataValidation>
    <dataValidation type="list" allowBlank="1" showInputMessage="1" showErrorMessage="1" sqref="D89:D91" xr:uid="{00000000-0002-0000-0400-000000000000}">
      <formula1>$J$89:$J$91</formula1>
    </dataValidation>
    <dataValidation type="list" allowBlank="1" showInputMessage="1" showErrorMessage="1" sqref="D12:D15" xr:uid="{00000000-0002-0000-0400-000010000000}">
      <formula1>$J$12:$J$15</formula1>
    </dataValidation>
    <dataValidation type="list" allowBlank="1" showInputMessage="1" showErrorMessage="1" sqref="D36:D37" xr:uid="{00000000-0002-0000-0400-000007000000}">
      <formula1>$J$36:$J$37</formula1>
    </dataValidation>
    <dataValidation type="list" allowBlank="1" showInputMessage="1" showErrorMessage="1" sqref="D16:D17" xr:uid="{00000000-0002-0000-0400-00000F000000}">
      <formula1>$J$16:$J$17</formula1>
    </dataValidation>
    <dataValidation type="list" allowBlank="1" showInputMessage="1" showErrorMessage="1" sqref="D38:D39" xr:uid="{A375FD6D-65CB-4162-BC23-16BF06D8DEB0}">
      <formula1>$J$38:$J$39</formula1>
    </dataValidation>
    <dataValidation type="list" allowBlank="1" showInputMessage="1" showErrorMessage="1" sqref="D40:D54" xr:uid="{998C366F-60F1-4ECA-BA08-4F3B4D96B154}">
      <formula1>$J$40:$J$54</formula1>
    </dataValidation>
    <dataValidation type="list" allowBlank="1" showInputMessage="1" showErrorMessage="1" sqref="D55:D64" xr:uid="{DE6138BB-CA9E-4F94-AC82-A1CC02E07AF4}">
      <formula1>$J$55:$J$64</formula1>
    </dataValidation>
  </dataValidations>
  <pageMargins left="0.25" right="0.25" top="0.75" bottom="0.75" header="0.3" footer="0.3"/>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12000000}">
          <x14:formula1>
            <xm:f>'Response Guidelines'!$D$80:$D$86</xm:f>
          </x14:formula1>
          <xm:sqref>G40 G12:G38 G55 G65:G126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DB02B"/>
    <pageSetUpPr fitToPage="1"/>
  </sheetPr>
  <dimension ref="A1:M126"/>
  <sheetViews>
    <sheetView tabSelected="1" topLeftCell="B1" zoomScaleNormal="100" workbookViewId="0">
      <selection activeCell="B14" sqref="A14:XFD15"/>
    </sheetView>
  </sheetViews>
  <sheetFormatPr defaultColWidth="9.1796875" defaultRowHeight="10.5" x14ac:dyDescent="0.25"/>
  <cols>
    <col min="1" max="1" width="3.1796875" style="19" bestFit="1" customWidth="1"/>
    <col min="2" max="2" width="37.1796875" style="18" customWidth="1"/>
    <col min="3" max="3" width="37.54296875" style="18" customWidth="1"/>
    <col min="4" max="4" width="6.453125" style="18" customWidth="1"/>
    <col min="5" max="5" width="6" style="18" customWidth="1"/>
    <col min="6" max="6" width="4.54296875" style="18" customWidth="1"/>
    <col min="7" max="7" width="7.453125" style="18" customWidth="1"/>
    <col min="8" max="8" width="6.453125" style="18" customWidth="1"/>
    <col min="9" max="9" width="8" style="17" customWidth="1"/>
    <col min="10" max="10" width="29.1796875" style="16" customWidth="1"/>
    <col min="11" max="11" width="6.81640625" style="15" bestFit="1" customWidth="1"/>
    <col min="12" max="12" width="5.453125" style="13" customWidth="1"/>
    <col min="13" max="13" width="40.453125" style="14" customWidth="1"/>
    <col min="14" max="14" width="8.54296875" style="13" customWidth="1"/>
    <col min="15" max="16384" width="9.1796875" style="13"/>
  </cols>
  <sheetData>
    <row r="1" spans="1:13" x14ac:dyDescent="0.25">
      <c r="B1" s="64"/>
      <c r="C1" s="64"/>
      <c r="D1" s="64"/>
      <c r="E1" s="64"/>
      <c r="F1" s="64"/>
      <c r="G1" s="64"/>
      <c r="H1" s="64"/>
    </row>
    <row r="2" spans="1:13" ht="15.65" customHeight="1" x14ac:dyDescent="0.35">
      <c r="B2" s="11" t="s">
        <v>77</v>
      </c>
      <c r="C2" s="12" t="str">
        <f>'Scoring Summary'!C2</f>
        <v>&lt;insert before tender publication&gt;</v>
      </c>
      <c r="D2" s="26"/>
      <c r="E2" s="374" t="s">
        <v>250</v>
      </c>
      <c r="F2" s="374"/>
      <c r="G2" s="374"/>
      <c r="H2" s="26"/>
      <c r="I2" s="26"/>
      <c r="J2" s="26"/>
      <c r="K2" s="26"/>
      <c r="L2" s="26"/>
      <c r="M2" s="26"/>
    </row>
    <row r="3" spans="1:13" ht="15.65" customHeight="1" x14ac:dyDescent="0.35">
      <c r="B3" s="11" t="s">
        <v>80</v>
      </c>
      <c r="C3" s="12" t="str">
        <f>'Scoring Summary'!C3</f>
        <v>Feeder Balancing Module</v>
      </c>
      <c r="D3" s="26"/>
      <c r="E3" s="374"/>
      <c r="F3" s="374"/>
      <c r="G3" s="374"/>
      <c r="H3" s="26"/>
      <c r="I3" s="26"/>
      <c r="J3" s="26"/>
      <c r="K3" s="26"/>
      <c r="L3" s="26"/>
      <c r="M3" s="26"/>
    </row>
    <row r="4" spans="1:13" ht="14.5" customHeight="1" x14ac:dyDescent="0.35">
      <c r="B4" s="11" t="s">
        <v>94</v>
      </c>
      <c r="C4" s="10" t="str">
        <f>'Scoring Summary'!C4</f>
        <v>&lt;Evaluator to complete&gt;</v>
      </c>
      <c r="D4" s="26"/>
      <c r="E4" s="63"/>
      <c r="F4" s="63"/>
      <c r="G4" s="63"/>
      <c r="H4" s="26"/>
      <c r="I4" s="26"/>
      <c r="J4" s="26"/>
      <c r="K4" s="26"/>
      <c r="L4" s="26"/>
      <c r="M4" s="26"/>
    </row>
    <row r="5" spans="1:13" ht="14.5" customHeight="1" x14ac:dyDescent="0.35">
      <c r="B5" s="11" t="s">
        <v>83</v>
      </c>
      <c r="C5" s="10" t="str">
        <f>'Scoring Summary'!C5</f>
        <v>&lt;Evaluator to complete&gt;</v>
      </c>
      <c r="D5" s="26"/>
      <c r="E5" s="26"/>
      <c r="F5" s="26"/>
      <c r="G5" s="26"/>
      <c r="H5" s="26"/>
      <c r="I5" s="26"/>
      <c r="J5" s="26"/>
      <c r="K5" s="26"/>
      <c r="L5" s="26"/>
      <c r="M5" s="26"/>
    </row>
    <row r="6" spans="1:13" ht="14.5" customHeight="1" x14ac:dyDescent="0.35">
      <c r="B6" s="11" t="s">
        <v>84</v>
      </c>
      <c r="C6" s="10" t="str">
        <f>'Scoring Summary'!C6</f>
        <v>&lt;Evaluator to complete&gt;</v>
      </c>
      <c r="D6" s="26"/>
      <c r="E6" s="26"/>
      <c r="F6" s="26"/>
      <c r="G6" s="26"/>
      <c r="H6" s="26"/>
      <c r="I6" s="26"/>
      <c r="J6" s="26"/>
      <c r="K6" s="26"/>
      <c r="L6" s="26"/>
      <c r="M6" s="26"/>
    </row>
    <row r="7" spans="1:13" ht="27.65" customHeight="1" x14ac:dyDescent="0.35">
      <c r="B7" s="11" t="s">
        <v>85</v>
      </c>
      <c r="C7" s="10"/>
      <c r="D7" s="26"/>
      <c r="E7" s="26"/>
      <c r="F7" s="26"/>
      <c r="G7" s="26"/>
      <c r="H7" s="26"/>
      <c r="I7" s="26"/>
      <c r="J7" s="26"/>
      <c r="K7" s="26"/>
      <c r="L7" s="26"/>
      <c r="M7" s="26"/>
    </row>
    <row r="8" spans="1:13" ht="12" customHeight="1" x14ac:dyDescent="0.25"/>
    <row r="10" spans="1:13" x14ac:dyDescent="0.25">
      <c r="B10" s="25"/>
      <c r="C10" s="25"/>
      <c r="D10" s="25"/>
      <c r="E10" s="25"/>
      <c r="F10" s="25"/>
      <c r="G10" s="25"/>
      <c r="H10" s="25"/>
    </row>
    <row r="12" spans="1:13" x14ac:dyDescent="0.25">
      <c r="B12" s="25"/>
      <c r="C12" s="25"/>
      <c r="D12" s="25"/>
      <c r="E12" s="25"/>
      <c r="F12" s="25"/>
      <c r="G12" s="25"/>
      <c r="H12" s="25"/>
    </row>
    <row r="13" spans="1:13" ht="11" thickBot="1" x14ac:dyDescent="0.3">
      <c r="B13" s="25"/>
      <c r="C13" s="25"/>
      <c r="D13" s="25"/>
      <c r="E13" s="25"/>
      <c r="F13" s="25"/>
      <c r="G13" s="25"/>
      <c r="H13" s="25"/>
    </row>
    <row r="14" spans="1:13" ht="11" thickBot="1" x14ac:dyDescent="0.25">
      <c r="A14" s="315" t="s">
        <v>14</v>
      </c>
      <c r="B14" s="317" t="s">
        <v>15</v>
      </c>
      <c r="C14" s="317"/>
      <c r="D14" s="747" t="s">
        <v>16</v>
      </c>
      <c r="E14" s="747"/>
      <c r="F14" s="747"/>
      <c r="G14" s="62"/>
      <c r="H14" s="62"/>
      <c r="I14" s="61" t="s">
        <v>17</v>
      </c>
      <c r="J14" s="60"/>
      <c r="K14" s="60"/>
      <c r="L14" s="60"/>
      <c r="M14" s="59"/>
    </row>
    <row r="15" spans="1:13" s="29" customFormat="1" ht="59.25" customHeight="1" thickBot="1" x14ac:dyDescent="0.4">
      <c r="A15" s="746"/>
      <c r="B15" s="187" t="s">
        <v>95</v>
      </c>
      <c r="C15" s="127" t="s">
        <v>19</v>
      </c>
      <c r="D15" s="125" t="s">
        <v>20</v>
      </c>
      <c r="E15" s="174" t="s">
        <v>21</v>
      </c>
      <c r="F15" s="175" t="s">
        <v>22</v>
      </c>
      <c r="G15" s="67" t="s">
        <v>23</v>
      </c>
      <c r="H15" s="181" t="s">
        <v>24</v>
      </c>
      <c r="I15" s="124" t="s">
        <v>25</v>
      </c>
      <c r="J15" s="182" t="s">
        <v>26</v>
      </c>
      <c r="K15" s="183" t="s">
        <v>27</v>
      </c>
      <c r="L15" s="184" t="s">
        <v>28</v>
      </c>
      <c r="M15" s="185" t="s">
        <v>29</v>
      </c>
    </row>
    <row r="16" spans="1:13" s="29" customFormat="1" ht="11.25" customHeight="1" x14ac:dyDescent="0.35">
      <c r="A16" s="597">
        <v>1</v>
      </c>
      <c r="B16" s="600" t="s">
        <v>251</v>
      </c>
      <c r="C16" s="731" t="s">
        <v>252</v>
      </c>
      <c r="D16" s="744"/>
      <c r="E16" s="492"/>
      <c r="F16" s="685"/>
      <c r="G16" s="681" t="s">
        <v>37</v>
      </c>
      <c r="H16" s="423">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6</v>
      </c>
      <c r="I16" s="425">
        <f>(H16/$H$97)/_xlfn.XLOOKUP('Scoring Summary'!$D$16,'Response Guidelines'!$D$91:$D$190,'Response Guidelines'!$C$91:$C$190,"",0,1)</f>
        <v>5.9602649006622122E-3</v>
      </c>
      <c r="J16" s="188" t="s">
        <v>253</v>
      </c>
      <c r="K16" s="176">
        <f>I16</f>
        <v>5.9602649006622122E-3</v>
      </c>
      <c r="L16" s="496"/>
      <c r="M16" s="453"/>
    </row>
    <row r="17" spans="1:13" s="29" customFormat="1" ht="89.25" customHeight="1" x14ac:dyDescent="0.35">
      <c r="A17" s="673"/>
      <c r="B17" s="710"/>
      <c r="C17" s="699"/>
      <c r="D17" s="722"/>
      <c r="E17" s="725"/>
      <c r="F17" s="686"/>
      <c r="G17" s="682"/>
      <c r="H17" s="683"/>
      <c r="I17" s="684"/>
      <c r="J17" s="207" t="s">
        <v>254</v>
      </c>
      <c r="K17" s="178">
        <v>0</v>
      </c>
      <c r="L17" s="497"/>
      <c r="M17" s="455"/>
    </row>
    <row r="18" spans="1:13" s="29" customFormat="1" ht="11.25" customHeight="1" x14ac:dyDescent="0.35">
      <c r="A18" s="597">
        <v>2</v>
      </c>
      <c r="B18" s="748" t="s">
        <v>255</v>
      </c>
      <c r="C18" s="431" t="s">
        <v>256</v>
      </c>
      <c r="D18" s="751"/>
      <c r="E18" s="456"/>
      <c r="F18" s="376"/>
      <c r="G18" s="380" t="s">
        <v>72</v>
      </c>
      <c r="H18" s="310">
        <f>IF(G18='Response Guidelines'!$D$80,'Response Guidelines'!$C$80, IF(G18='Response Guidelines'!$D$81,'Response Guidelines'!$C$81,IF(G18='Response Guidelines'!$D$82,'Response Guidelines'!$C$82,IF(G18='Response Guidelines'!$D$83,'Response Guidelines'!$C$83,IF(G18='Response Guidelines'!$D$84,'Response Guidelines'!$C$84,IF(G18='Response Guidelines'!$D$85,'Response Guidelines'!$C$85,IF(G18='Response Guidelines'!$D$86,'Response Guidelines'!$C$86,"No Rating")))))))</f>
        <v>4</v>
      </c>
      <c r="I18" s="311">
        <f>(H18/$H$97)/_xlfn.XLOOKUP('Scoring Summary'!$D$16,'Response Guidelines'!$D$91:$D$190,'Response Guidelines'!$C$91:$C$190,"",0,1)</f>
        <v>3.9735099337748075E-3</v>
      </c>
      <c r="J18" s="43" t="s">
        <v>257</v>
      </c>
      <c r="K18" s="42">
        <f>I18</f>
        <v>3.9735099337748075E-3</v>
      </c>
      <c r="L18" s="313"/>
      <c r="M18" s="314"/>
    </row>
    <row r="19" spans="1:13" s="29" customFormat="1" ht="40.5" customHeight="1" x14ac:dyDescent="0.35">
      <c r="A19" s="599"/>
      <c r="B19" s="749"/>
      <c r="C19" s="750"/>
      <c r="D19" s="751"/>
      <c r="E19" s="752"/>
      <c r="F19" s="375"/>
      <c r="G19" s="693"/>
      <c r="H19" s="343"/>
      <c r="I19" s="590"/>
      <c r="J19" s="41" t="s">
        <v>258</v>
      </c>
      <c r="K19" s="40">
        <v>0</v>
      </c>
      <c r="L19" s="508"/>
      <c r="M19" s="745"/>
    </row>
    <row r="20" spans="1:13" s="29" customFormat="1" ht="10" customHeight="1" x14ac:dyDescent="0.35">
      <c r="A20" s="651">
        <v>3</v>
      </c>
      <c r="B20" s="740" t="s">
        <v>259</v>
      </c>
      <c r="C20" s="731" t="s">
        <v>260</v>
      </c>
      <c r="D20" s="744"/>
      <c r="E20" s="492"/>
      <c r="F20" s="685"/>
      <c r="G20" s="681" t="s">
        <v>72</v>
      </c>
      <c r="H20" s="423">
        <f>IF(G20='Response Guidelines'!$D$80,'Response Guidelines'!$C$80, IF(G20='Response Guidelines'!$D$81,'Response Guidelines'!$C$81,IF(G20='Response Guidelines'!$D$82,'Response Guidelines'!$C$82,IF(G20='Response Guidelines'!$D$83,'Response Guidelines'!$C$83,IF(G20='Response Guidelines'!$D$84,'Response Guidelines'!$C$84,IF(G20='Response Guidelines'!$D$85,'Response Guidelines'!$C$85,IF(G20='Response Guidelines'!$D$86,'Response Guidelines'!$C$86,"No Rating")))))))</f>
        <v>4</v>
      </c>
      <c r="I20" s="425">
        <f>(H20/$H$97)/_xlfn.XLOOKUP('Scoring Summary'!$D$16,'Response Guidelines'!$D$91:$D$190,'Response Guidelines'!$C$91:$C$190,"",0,1)</f>
        <v>3.9735099337748075E-3</v>
      </c>
      <c r="J20" s="188" t="s">
        <v>253</v>
      </c>
      <c r="K20" s="176">
        <f>I20</f>
        <v>3.9735099337748075E-3</v>
      </c>
      <c r="L20" s="485"/>
      <c r="M20" s="453"/>
    </row>
    <row r="21" spans="1:13" s="29" customFormat="1" ht="46.5" customHeight="1" x14ac:dyDescent="0.35">
      <c r="A21" s="673"/>
      <c r="B21" s="741"/>
      <c r="C21" s="720"/>
      <c r="D21" s="722"/>
      <c r="E21" s="725"/>
      <c r="F21" s="686"/>
      <c r="G21" s="682"/>
      <c r="H21" s="683"/>
      <c r="I21" s="684"/>
      <c r="J21" s="207" t="s">
        <v>254</v>
      </c>
      <c r="K21" s="178">
        <v>0</v>
      </c>
      <c r="L21" s="497"/>
      <c r="M21" s="455"/>
    </row>
    <row r="22" spans="1:13" s="29" customFormat="1" ht="10" customHeight="1" x14ac:dyDescent="0.35">
      <c r="A22" s="597">
        <v>4</v>
      </c>
      <c r="B22" s="726" t="s">
        <v>261</v>
      </c>
      <c r="C22" s="728" t="s">
        <v>262</v>
      </c>
      <c r="D22" s="690"/>
      <c r="E22" s="456"/>
      <c r="F22" s="376"/>
      <c r="G22" s="380" t="s">
        <v>72</v>
      </c>
      <c r="H22" s="310">
        <f>IF(G22='Response Guidelines'!$D$80,'Response Guidelines'!$C$80, IF(G22='Response Guidelines'!$D$81,'Response Guidelines'!$C$81,IF(G22='Response Guidelines'!$D$82,'Response Guidelines'!$C$82,IF(G22='Response Guidelines'!$D$83,'Response Guidelines'!$C$83,IF(G22='Response Guidelines'!$D$84,'Response Guidelines'!$C$84,IF(G22='Response Guidelines'!$D$85,'Response Guidelines'!$C$85,IF(G22='Response Guidelines'!$D$86,'Response Guidelines'!$C$86,"No Rating")))))))</f>
        <v>4</v>
      </c>
      <c r="I22" s="311">
        <f>(H22/$H$97)/_xlfn.XLOOKUP('Scoring Summary'!$D$16,'Response Guidelines'!$D$91:$D$190,'Response Guidelines'!$C$91:$C$190,"",0,1)</f>
        <v>3.9735099337748075E-3</v>
      </c>
      <c r="J22" s="43" t="s">
        <v>253</v>
      </c>
      <c r="K22" s="42">
        <f>I22</f>
        <v>3.9735099337748075E-3</v>
      </c>
      <c r="L22" s="313"/>
      <c r="M22" s="314"/>
    </row>
    <row r="23" spans="1:13" s="29" customFormat="1" ht="60.75" customHeight="1" x14ac:dyDescent="0.35">
      <c r="A23" s="599"/>
      <c r="B23" s="727"/>
      <c r="C23" s="708"/>
      <c r="D23" s="692"/>
      <c r="E23" s="456"/>
      <c r="F23" s="376"/>
      <c r="G23" s="693"/>
      <c r="H23" s="343"/>
      <c r="I23" s="590"/>
      <c r="J23" s="41" t="s">
        <v>254</v>
      </c>
      <c r="K23" s="40">
        <v>0</v>
      </c>
      <c r="L23" s="487"/>
      <c r="M23" s="672"/>
    </row>
    <row r="24" spans="1:13" s="29" customFormat="1" ht="10" customHeight="1" x14ac:dyDescent="0.35">
      <c r="A24" s="651">
        <v>5</v>
      </c>
      <c r="B24" s="740" t="s">
        <v>263</v>
      </c>
      <c r="C24" s="731" t="s">
        <v>262</v>
      </c>
      <c r="D24" s="721"/>
      <c r="E24" s="492"/>
      <c r="F24" s="685"/>
      <c r="G24" s="681" t="s">
        <v>37</v>
      </c>
      <c r="H24" s="423">
        <f>IF(G24='Response Guidelines'!$D$80,'Response Guidelines'!$C$80, IF(G24='Response Guidelines'!$D$81,'Response Guidelines'!$C$81,IF(G24='Response Guidelines'!$D$82,'Response Guidelines'!$C$82,IF(G24='Response Guidelines'!$D$83,'Response Guidelines'!$C$83,IF(G24='Response Guidelines'!$D$84,'Response Guidelines'!$C$84,IF(G24='Response Guidelines'!$D$85,'Response Guidelines'!$C$85,IF(G24='Response Guidelines'!$D$86,'Response Guidelines'!$C$86,"No Rating")))))))</f>
        <v>6</v>
      </c>
      <c r="I24" s="425">
        <f>(H24/$H$97)/_xlfn.XLOOKUP('Scoring Summary'!$D$16,'Response Guidelines'!$D$91:$D$190,'Response Guidelines'!$C$91:$C$190,"",0,1)</f>
        <v>5.9602649006622122E-3</v>
      </c>
      <c r="J24" s="188" t="s">
        <v>253</v>
      </c>
      <c r="K24" s="176">
        <f>I24</f>
        <v>5.9602649006622122E-3</v>
      </c>
      <c r="L24" s="496"/>
      <c r="M24" s="453"/>
    </row>
    <row r="25" spans="1:13" s="29" customFormat="1" ht="46.5" customHeight="1" x14ac:dyDescent="0.35">
      <c r="A25" s="673"/>
      <c r="B25" s="741"/>
      <c r="C25" s="720"/>
      <c r="D25" s="724"/>
      <c r="E25" s="725"/>
      <c r="F25" s="686"/>
      <c r="G25" s="682"/>
      <c r="H25" s="683"/>
      <c r="I25" s="684"/>
      <c r="J25" s="207" t="s">
        <v>254</v>
      </c>
      <c r="K25" s="178">
        <v>0</v>
      </c>
      <c r="L25" s="497"/>
      <c r="M25" s="455"/>
    </row>
    <row r="26" spans="1:13" s="29" customFormat="1" ht="10" customHeight="1" x14ac:dyDescent="0.35">
      <c r="A26" s="597">
        <v>6</v>
      </c>
      <c r="B26" s="726" t="s">
        <v>264</v>
      </c>
      <c r="C26" s="738" t="s">
        <v>262</v>
      </c>
      <c r="D26" s="702"/>
      <c r="E26" s="432"/>
      <c r="F26" s="384"/>
      <c r="G26" s="380" t="s">
        <v>33</v>
      </c>
      <c r="H26" s="310">
        <f>IF(G26='Response Guidelines'!$D$80,'Response Guidelines'!$C$80, IF(G26='Response Guidelines'!$D$81,'Response Guidelines'!$C$81,IF(G26='Response Guidelines'!$D$82,'Response Guidelines'!$C$82,IF(G26='Response Guidelines'!$D$83,'Response Guidelines'!$C$83,IF(G26='Response Guidelines'!$D$84,'Response Guidelines'!$C$84,IF(G26='Response Guidelines'!$D$85,'Response Guidelines'!$C$85,IF(G26='Response Guidelines'!$D$86,'Response Guidelines'!$C$86,"No Rating")))))))</f>
        <v>3</v>
      </c>
      <c r="I26" s="311">
        <f>(H26/$H$97)/_xlfn.XLOOKUP('Scoring Summary'!$D$16,'Response Guidelines'!$D$91:$D$190,'Response Guidelines'!$C$91:$C$190,"",0,1)</f>
        <v>2.9801324503311061E-3</v>
      </c>
      <c r="J26" s="43" t="s">
        <v>253</v>
      </c>
      <c r="K26" s="42">
        <f>I26</f>
        <v>2.9801324503311061E-3</v>
      </c>
      <c r="L26" s="313"/>
      <c r="M26" s="694"/>
    </row>
    <row r="27" spans="1:13" s="29" customFormat="1" ht="87" customHeight="1" x14ac:dyDescent="0.35">
      <c r="A27" s="599"/>
      <c r="B27" s="727"/>
      <c r="C27" s="739"/>
      <c r="D27" s="703"/>
      <c r="E27" s="432"/>
      <c r="F27" s="384"/>
      <c r="G27" s="693"/>
      <c r="H27" s="343"/>
      <c r="I27" s="590"/>
      <c r="J27" s="41" t="s">
        <v>254</v>
      </c>
      <c r="K27" s="40">
        <v>0</v>
      </c>
      <c r="L27" s="487"/>
      <c r="M27" s="695"/>
    </row>
    <row r="28" spans="1:13" s="29" customFormat="1" ht="10" customHeight="1" x14ac:dyDescent="0.35">
      <c r="A28" s="651">
        <v>7</v>
      </c>
      <c r="B28" s="740" t="s">
        <v>265</v>
      </c>
      <c r="C28" s="742" t="s">
        <v>262</v>
      </c>
      <c r="D28" s="721"/>
      <c r="E28" s="492"/>
      <c r="F28" s="685"/>
      <c r="G28" s="681" t="s">
        <v>37</v>
      </c>
      <c r="H28" s="423">
        <f>IF(G28='Response Guidelines'!$D$80,'Response Guidelines'!$C$80, IF(G28='Response Guidelines'!$D$81,'Response Guidelines'!$C$81,IF(G28='Response Guidelines'!$D$82,'Response Guidelines'!$C$82,IF(G28='Response Guidelines'!$D$83,'Response Guidelines'!$C$83,IF(G28='Response Guidelines'!$D$84,'Response Guidelines'!$C$84,IF(G28='Response Guidelines'!$D$85,'Response Guidelines'!$C$85,IF(G28='Response Guidelines'!$D$86,'Response Guidelines'!$C$86,"No Rating")))))))</f>
        <v>6</v>
      </c>
      <c r="I28" s="425">
        <f>(H28/$H$97)/_xlfn.XLOOKUP('Scoring Summary'!$D$16,'Response Guidelines'!$D$91:$D$190,'Response Guidelines'!$C$91:$C$190,"",0,1)</f>
        <v>5.9602649006622122E-3</v>
      </c>
      <c r="J28" s="188" t="s">
        <v>253</v>
      </c>
      <c r="K28" s="176">
        <f>I28</f>
        <v>5.9602649006622122E-3</v>
      </c>
      <c r="L28" s="496"/>
      <c r="M28" s="453"/>
    </row>
    <row r="29" spans="1:13" s="29" customFormat="1" ht="35.25" customHeight="1" x14ac:dyDescent="0.35">
      <c r="A29" s="673"/>
      <c r="B29" s="741"/>
      <c r="C29" s="743"/>
      <c r="D29" s="724"/>
      <c r="E29" s="725"/>
      <c r="F29" s="686"/>
      <c r="G29" s="682"/>
      <c r="H29" s="683"/>
      <c r="I29" s="684"/>
      <c r="J29" s="207" t="s">
        <v>254</v>
      </c>
      <c r="K29" s="178">
        <v>0</v>
      </c>
      <c r="L29" s="497"/>
      <c r="M29" s="455"/>
    </row>
    <row r="30" spans="1:13" s="29" customFormat="1" ht="10" customHeight="1" x14ac:dyDescent="0.35">
      <c r="A30" s="597">
        <v>8</v>
      </c>
      <c r="B30" s="736" t="s">
        <v>266</v>
      </c>
      <c r="C30" s="738" t="s">
        <v>262</v>
      </c>
      <c r="D30" s="702"/>
      <c r="E30" s="432"/>
      <c r="F30" s="384"/>
      <c r="G30" s="380" t="s">
        <v>73</v>
      </c>
      <c r="H30" s="310">
        <f>IF(G30='Response Guidelines'!$D$80,'Response Guidelines'!$C$80, IF(G30='Response Guidelines'!$D$81,'Response Guidelines'!$C$81,IF(G30='Response Guidelines'!$D$82,'Response Guidelines'!$C$82,IF(G30='Response Guidelines'!$D$83,'Response Guidelines'!$C$83,IF(G30='Response Guidelines'!$D$84,'Response Guidelines'!$C$84,IF(G30='Response Guidelines'!$D$85,'Response Guidelines'!$C$85,IF(G30='Response Guidelines'!$D$86,'Response Guidelines'!$C$86,"No Rating")))))))</f>
        <v>5</v>
      </c>
      <c r="I30" s="311">
        <f>(H30/$H$97)/_xlfn.XLOOKUP('Scoring Summary'!$D$16,'Response Guidelines'!$D$91:$D$190,'Response Guidelines'!$C$91:$C$190,"",0,1)</f>
        <v>4.9668874172185103E-3</v>
      </c>
      <c r="J30" s="43" t="s">
        <v>253</v>
      </c>
      <c r="K30" s="42">
        <f>I30</f>
        <v>4.9668874172185103E-3</v>
      </c>
      <c r="L30" s="313"/>
      <c r="M30" s="694"/>
    </row>
    <row r="31" spans="1:13" s="29" customFormat="1" ht="32.25" customHeight="1" x14ac:dyDescent="0.35">
      <c r="A31" s="599"/>
      <c r="B31" s="737"/>
      <c r="C31" s="739"/>
      <c r="D31" s="703"/>
      <c r="E31" s="432"/>
      <c r="F31" s="384"/>
      <c r="G31" s="693"/>
      <c r="H31" s="343"/>
      <c r="I31" s="590"/>
      <c r="J31" s="41" t="s">
        <v>254</v>
      </c>
      <c r="K31" s="40">
        <v>0</v>
      </c>
      <c r="L31" s="487"/>
      <c r="M31" s="695"/>
    </row>
    <row r="32" spans="1:13" s="29" customFormat="1" ht="10" customHeight="1" x14ac:dyDescent="0.35">
      <c r="A32" s="651">
        <v>9</v>
      </c>
      <c r="B32" s="732" t="s">
        <v>267</v>
      </c>
      <c r="C32" s="734" t="s">
        <v>268</v>
      </c>
      <c r="D32" s="721"/>
      <c r="E32" s="492"/>
      <c r="F32" s="685"/>
      <c r="G32" s="681" t="s">
        <v>37</v>
      </c>
      <c r="H32" s="423">
        <f>IF(G32='Response Guidelines'!$D$80,'Response Guidelines'!$C$80, IF(G32='Response Guidelines'!$D$81,'Response Guidelines'!$C$81,IF(G32='Response Guidelines'!$D$82,'Response Guidelines'!$C$82,IF(G32='Response Guidelines'!$D$83,'Response Guidelines'!$C$83,IF(G32='Response Guidelines'!$D$84,'Response Guidelines'!$C$84,IF(G32='Response Guidelines'!$D$85,'Response Guidelines'!$C$85,IF(G32='Response Guidelines'!$D$86,'Response Guidelines'!$C$86,"No Rating")))))))</f>
        <v>6</v>
      </c>
      <c r="I32" s="425">
        <f>(H32/$H$97)/_xlfn.XLOOKUP('Scoring Summary'!$D$16,'Response Guidelines'!$D$91:$D$190,'Response Guidelines'!$C$91:$C$190,"",0,1)</f>
        <v>5.9602649006622122E-3</v>
      </c>
      <c r="J32" s="188" t="s">
        <v>269</v>
      </c>
      <c r="K32" s="176">
        <f>I32</f>
        <v>5.9602649006622122E-3</v>
      </c>
      <c r="L32" s="496"/>
      <c r="M32" s="453"/>
    </row>
    <row r="33" spans="1:13" s="29" customFormat="1" ht="42" customHeight="1" x14ac:dyDescent="0.35">
      <c r="A33" s="673"/>
      <c r="B33" s="733"/>
      <c r="C33" s="735"/>
      <c r="D33" s="724"/>
      <c r="E33" s="725"/>
      <c r="F33" s="686"/>
      <c r="G33" s="682"/>
      <c r="H33" s="683"/>
      <c r="I33" s="684"/>
      <c r="J33" s="207" t="s">
        <v>270</v>
      </c>
      <c r="K33" s="178">
        <v>0</v>
      </c>
      <c r="L33" s="497"/>
      <c r="M33" s="455"/>
    </row>
    <row r="34" spans="1:13" s="29" customFormat="1" ht="10" customHeight="1" x14ac:dyDescent="0.35">
      <c r="A34" s="597">
        <v>10</v>
      </c>
      <c r="B34" s="726" t="s">
        <v>271</v>
      </c>
      <c r="C34" s="728" t="s">
        <v>262</v>
      </c>
      <c r="D34" s="702"/>
      <c r="E34" s="432"/>
      <c r="F34" s="384"/>
      <c r="G34" s="380" t="s">
        <v>72</v>
      </c>
      <c r="H34" s="310">
        <f>IF(G34='Response Guidelines'!$D$80,'Response Guidelines'!$C$80, IF(G34='Response Guidelines'!$D$81,'Response Guidelines'!$C$81,IF(G34='Response Guidelines'!$D$82,'Response Guidelines'!$C$82,IF(G34='Response Guidelines'!$D$83,'Response Guidelines'!$C$83,IF(G34='Response Guidelines'!$D$84,'Response Guidelines'!$C$84,IF(G34='Response Guidelines'!$D$85,'Response Guidelines'!$C$85,IF(G34='Response Guidelines'!$D$86,'Response Guidelines'!$C$86,"No Rating")))))))</f>
        <v>4</v>
      </c>
      <c r="I34" s="311">
        <f>(H34/$H$97)/_xlfn.XLOOKUP('Scoring Summary'!$D$16,'Response Guidelines'!$D$91:$D$190,'Response Guidelines'!$C$91:$C$190,"",0,1)</f>
        <v>3.9735099337748075E-3</v>
      </c>
      <c r="J34" s="43" t="s">
        <v>253</v>
      </c>
      <c r="K34" s="42">
        <f>I34</f>
        <v>3.9735099337748075E-3</v>
      </c>
      <c r="L34" s="313"/>
      <c r="M34" s="694"/>
    </row>
    <row r="35" spans="1:13" s="29" customFormat="1" ht="40.5" customHeight="1" x14ac:dyDescent="0.35">
      <c r="A35" s="599"/>
      <c r="B35" s="727"/>
      <c r="C35" s="708"/>
      <c r="D35" s="703"/>
      <c r="E35" s="432"/>
      <c r="F35" s="384"/>
      <c r="G35" s="693"/>
      <c r="H35" s="343"/>
      <c r="I35" s="590"/>
      <c r="J35" s="41" t="s">
        <v>254</v>
      </c>
      <c r="K35" s="40">
        <v>0</v>
      </c>
      <c r="L35" s="487"/>
      <c r="M35" s="695"/>
    </row>
    <row r="36" spans="1:13" s="29" customFormat="1" ht="10" customHeight="1" x14ac:dyDescent="0.35">
      <c r="A36" s="651">
        <v>11</v>
      </c>
      <c r="B36" s="729" t="s">
        <v>272</v>
      </c>
      <c r="C36" s="731" t="s">
        <v>262</v>
      </c>
      <c r="D36" s="721"/>
      <c r="E36" s="492"/>
      <c r="F36" s="685"/>
      <c r="G36" s="681" t="s">
        <v>73</v>
      </c>
      <c r="H36" s="423">
        <f>IF(G36='Response Guidelines'!$D$80,'Response Guidelines'!$C$80, IF(G36='Response Guidelines'!$D$81,'Response Guidelines'!$C$81,IF(G36='Response Guidelines'!$D$82,'Response Guidelines'!$C$82,IF(G36='Response Guidelines'!$D$83,'Response Guidelines'!$C$83,IF(G36='Response Guidelines'!$D$84,'Response Guidelines'!$C$84,IF(G36='Response Guidelines'!$D$85,'Response Guidelines'!$C$85,IF(G36='Response Guidelines'!$D$86,'Response Guidelines'!$C$86,"No Rating")))))))</f>
        <v>5</v>
      </c>
      <c r="I36" s="425">
        <f>(H36/$H$97)/_xlfn.XLOOKUP('Scoring Summary'!$D$16,'Response Guidelines'!$D$91:$D$190,'Response Guidelines'!$C$91:$C$190,"",0,1)</f>
        <v>4.9668874172185103E-3</v>
      </c>
      <c r="J36" s="188" t="s">
        <v>253</v>
      </c>
      <c r="K36" s="176">
        <f>I36</f>
        <v>4.9668874172185103E-3</v>
      </c>
      <c r="L36" s="485"/>
      <c r="M36" s="453"/>
    </row>
    <row r="37" spans="1:13" s="29" customFormat="1" ht="378" customHeight="1" x14ac:dyDescent="0.35">
      <c r="A37" s="673"/>
      <c r="B37" s="730"/>
      <c r="C37" s="699"/>
      <c r="D37" s="724"/>
      <c r="E37" s="725"/>
      <c r="F37" s="686"/>
      <c r="G37" s="682"/>
      <c r="H37" s="683"/>
      <c r="I37" s="684"/>
      <c r="J37" s="207" t="s">
        <v>254</v>
      </c>
      <c r="K37" s="178">
        <v>0</v>
      </c>
      <c r="L37" s="497"/>
      <c r="M37" s="455"/>
    </row>
    <row r="38" spans="1:13" s="29" customFormat="1" ht="10" customHeight="1" x14ac:dyDescent="0.35">
      <c r="A38" s="597">
        <v>12</v>
      </c>
      <c r="B38" s="726" t="s">
        <v>273</v>
      </c>
      <c r="C38" s="728" t="s">
        <v>252</v>
      </c>
      <c r="D38" s="690"/>
      <c r="E38" s="456"/>
      <c r="F38" s="376"/>
      <c r="G38" s="380" t="s">
        <v>71</v>
      </c>
      <c r="H38" s="310">
        <f>IF(G38='Response Guidelines'!$D$80,'Response Guidelines'!$C$80, IF(G38='Response Guidelines'!$D$81,'Response Guidelines'!$C$81,IF(G38='Response Guidelines'!$D$82,'Response Guidelines'!$C$82,IF(G38='Response Guidelines'!$D$83,'Response Guidelines'!$C$83,IF(G38='Response Guidelines'!$D$84,'Response Guidelines'!$C$84,IF(G38='Response Guidelines'!$D$85,'Response Guidelines'!$C$85,IF(G38='Response Guidelines'!$D$86,'Response Guidelines'!$C$86,"No Rating")))))))</f>
        <v>2</v>
      </c>
      <c r="I38" s="311">
        <f>(H38/$H$97)/_xlfn.XLOOKUP('Scoring Summary'!$D$16,'Response Guidelines'!$D$91:$D$190,'Response Guidelines'!$C$91:$C$190,"",0,1)</f>
        <v>1.9867549668874038E-3</v>
      </c>
      <c r="J38" s="43" t="s">
        <v>253</v>
      </c>
      <c r="K38" s="42">
        <f>I38</f>
        <v>1.9867549668874038E-3</v>
      </c>
      <c r="L38" s="313"/>
      <c r="M38" s="314"/>
    </row>
    <row r="39" spans="1:13" s="29" customFormat="1" ht="94.5" customHeight="1" x14ac:dyDescent="0.35">
      <c r="A39" s="599"/>
      <c r="B39" s="727"/>
      <c r="C39" s="708"/>
      <c r="D39" s="692"/>
      <c r="E39" s="456"/>
      <c r="F39" s="376"/>
      <c r="G39" s="693"/>
      <c r="H39" s="343"/>
      <c r="I39" s="590"/>
      <c r="J39" s="41" t="s">
        <v>254</v>
      </c>
      <c r="K39" s="40">
        <v>0</v>
      </c>
      <c r="L39" s="487"/>
      <c r="M39" s="672"/>
    </row>
    <row r="40" spans="1:13" s="29" customFormat="1" ht="10" customHeight="1" x14ac:dyDescent="0.35">
      <c r="A40" s="651">
        <v>13</v>
      </c>
      <c r="B40" s="709" t="s">
        <v>274</v>
      </c>
      <c r="C40" s="698" t="s">
        <v>262</v>
      </c>
      <c r="D40" s="721"/>
      <c r="E40" s="492"/>
      <c r="F40" s="685"/>
      <c r="G40" s="681" t="s">
        <v>72</v>
      </c>
      <c r="H40" s="423">
        <f>IF(G40='Response Guidelines'!$D$80,'Response Guidelines'!$C$80, IF(G40='Response Guidelines'!$D$81,'Response Guidelines'!$C$81,IF(G40='Response Guidelines'!$D$82,'Response Guidelines'!$C$82,IF(G40='Response Guidelines'!$D$83,'Response Guidelines'!$C$83,IF(G40='Response Guidelines'!$D$84,'Response Guidelines'!$C$84,IF(G40='Response Guidelines'!$D$85,'Response Guidelines'!$C$85,IF(G40='Response Guidelines'!$D$86,'Response Guidelines'!$C$86,"No Rating")))))))</f>
        <v>4</v>
      </c>
      <c r="I40" s="425">
        <f>(H40/$H$97)/_xlfn.XLOOKUP('Scoring Summary'!$D$16,'Response Guidelines'!$D$91:$D$190,'Response Guidelines'!$C$91:$C$190,"",0,1)</f>
        <v>3.9735099337748075E-3</v>
      </c>
      <c r="J40" s="188" t="s">
        <v>253</v>
      </c>
      <c r="K40" s="176">
        <f>I40</f>
        <v>3.9735099337748075E-3</v>
      </c>
      <c r="L40" s="496"/>
      <c r="M40" s="453"/>
    </row>
    <row r="41" spans="1:13" s="29" customFormat="1" ht="133.5" customHeight="1" x14ac:dyDescent="0.35">
      <c r="A41" s="673"/>
      <c r="B41" s="710"/>
      <c r="C41" s="699"/>
      <c r="D41" s="724"/>
      <c r="E41" s="725"/>
      <c r="F41" s="686"/>
      <c r="G41" s="682"/>
      <c r="H41" s="683"/>
      <c r="I41" s="684"/>
      <c r="J41" s="207" t="s">
        <v>254</v>
      </c>
      <c r="K41" s="178">
        <v>0</v>
      </c>
      <c r="L41" s="497"/>
      <c r="M41" s="455"/>
    </row>
    <row r="42" spans="1:13" s="29" customFormat="1" ht="10" customHeight="1" x14ac:dyDescent="0.35">
      <c r="A42" s="597">
        <v>14</v>
      </c>
      <c r="B42" s="714" t="s">
        <v>275</v>
      </c>
      <c r="C42" s="707" t="s">
        <v>262</v>
      </c>
      <c r="D42" s="702"/>
      <c r="E42" s="432"/>
      <c r="F42" s="384"/>
      <c r="G42" s="380" t="s">
        <v>37</v>
      </c>
      <c r="H42" s="310">
        <f>IF(G42='Response Guidelines'!$D$80,'Response Guidelines'!$C$80, IF(G42='Response Guidelines'!$D$81,'Response Guidelines'!$C$81,IF(G42='Response Guidelines'!$D$82,'Response Guidelines'!$C$82,IF(G42='Response Guidelines'!$D$83,'Response Guidelines'!$C$83,IF(G42='Response Guidelines'!$D$84,'Response Guidelines'!$C$84,IF(G42='Response Guidelines'!$D$85,'Response Guidelines'!$C$85,IF(G42='Response Guidelines'!$D$86,'Response Guidelines'!$C$86,"No Rating")))))))</f>
        <v>6</v>
      </c>
      <c r="I42" s="311">
        <f>(H42/$H$97)/_xlfn.XLOOKUP('Scoring Summary'!$D$16,'Response Guidelines'!$D$91:$D$190,'Response Guidelines'!$C$91:$C$190,"",0,1)</f>
        <v>5.9602649006622122E-3</v>
      </c>
      <c r="J42" s="43" t="s">
        <v>253</v>
      </c>
      <c r="K42" s="42">
        <f>I42</f>
        <v>5.9602649006622122E-3</v>
      </c>
      <c r="L42" s="313"/>
      <c r="M42" s="694"/>
    </row>
    <row r="43" spans="1:13" s="29" customFormat="1" ht="71.25" customHeight="1" x14ac:dyDescent="0.35">
      <c r="A43" s="599"/>
      <c r="B43" s="715"/>
      <c r="C43" s="708"/>
      <c r="D43" s="723"/>
      <c r="E43" s="432"/>
      <c r="F43" s="384"/>
      <c r="G43" s="693"/>
      <c r="H43" s="343"/>
      <c r="I43" s="590"/>
      <c r="J43" s="41" t="s">
        <v>254</v>
      </c>
      <c r="K43" s="40">
        <v>0</v>
      </c>
      <c r="L43" s="487"/>
      <c r="M43" s="695"/>
    </row>
    <row r="44" spans="1:13" s="29" customFormat="1" ht="10" customHeight="1" x14ac:dyDescent="0.35">
      <c r="A44" s="651">
        <v>15</v>
      </c>
      <c r="B44" s="718" t="s">
        <v>276</v>
      </c>
      <c r="C44" s="698" t="s">
        <v>252</v>
      </c>
      <c r="D44" s="721"/>
      <c r="E44" s="492"/>
      <c r="F44" s="685"/>
      <c r="G44" s="681" t="s">
        <v>33</v>
      </c>
      <c r="H44" s="423">
        <f>IF(G44='Response Guidelines'!$D$80,'Response Guidelines'!$C$80, IF(G44='Response Guidelines'!$D$81,'Response Guidelines'!$C$81,IF(G44='Response Guidelines'!$D$82,'Response Guidelines'!$C$82,IF(G44='Response Guidelines'!$D$83,'Response Guidelines'!$C$83,IF(G44='Response Guidelines'!$D$84,'Response Guidelines'!$C$84,IF(G44='Response Guidelines'!$D$85,'Response Guidelines'!$C$85,IF(G44='Response Guidelines'!$D$86,'Response Guidelines'!$C$86,"No Rating")))))))</f>
        <v>3</v>
      </c>
      <c r="I44" s="425">
        <f>(H44/$H$97)/_xlfn.XLOOKUP('Scoring Summary'!$D$16,'Response Guidelines'!$D$91:$D$190,'Response Guidelines'!$C$91:$C$190,"",0,1)</f>
        <v>2.9801324503311061E-3</v>
      </c>
      <c r="J44" s="188" t="s">
        <v>253</v>
      </c>
      <c r="K44" s="176">
        <f>I44</f>
        <v>2.9801324503311061E-3</v>
      </c>
      <c r="L44" s="496"/>
      <c r="M44" s="453"/>
    </row>
    <row r="45" spans="1:13" s="29" customFormat="1" ht="49.5" customHeight="1" x14ac:dyDescent="0.35">
      <c r="A45" s="673"/>
      <c r="B45" s="719"/>
      <c r="C45" s="720"/>
      <c r="D45" s="722"/>
      <c r="E45" s="493"/>
      <c r="F45" s="713"/>
      <c r="G45" s="712"/>
      <c r="H45" s="424"/>
      <c r="I45" s="684"/>
      <c r="J45" s="207" t="s">
        <v>254</v>
      </c>
      <c r="K45" s="178">
        <v>0</v>
      </c>
      <c r="L45" s="497"/>
      <c r="M45" s="455"/>
    </row>
    <row r="46" spans="1:13" s="29" customFormat="1" ht="10" customHeight="1" x14ac:dyDescent="0.35">
      <c r="A46" s="597">
        <v>16</v>
      </c>
      <c r="B46" s="714" t="s">
        <v>277</v>
      </c>
      <c r="C46" s="707" t="s">
        <v>262</v>
      </c>
      <c r="D46" s="716"/>
      <c r="E46" s="605"/>
      <c r="F46" s="441"/>
      <c r="G46" s="380" t="s">
        <v>37</v>
      </c>
      <c r="H46" s="310">
        <f>IF(G46='Response Guidelines'!$D$80,'Response Guidelines'!$C$80, IF(G46='Response Guidelines'!$D$81,'Response Guidelines'!$C$81,IF(G46='Response Guidelines'!$D$82,'Response Guidelines'!$C$82,IF(G46='Response Guidelines'!$D$83,'Response Guidelines'!$C$83,IF(G46='Response Guidelines'!$D$84,'Response Guidelines'!$C$84,IF(G46='Response Guidelines'!$D$85,'Response Guidelines'!$C$85,IF(G46='Response Guidelines'!$D$86,'Response Guidelines'!$C$86,"No Rating")))))))</f>
        <v>6</v>
      </c>
      <c r="I46" s="311">
        <f>(H46/$H$97)/_xlfn.XLOOKUP('Scoring Summary'!$D$16,'Response Guidelines'!$D$91:$D$190,'Response Guidelines'!$C$91:$C$190,"",0,1)</f>
        <v>5.9602649006622122E-3</v>
      </c>
      <c r="J46" s="43" t="s">
        <v>253</v>
      </c>
      <c r="K46" s="42">
        <f>I46</f>
        <v>5.9602649006622122E-3</v>
      </c>
      <c r="L46" s="313"/>
      <c r="M46" s="694"/>
    </row>
    <row r="47" spans="1:13" s="29" customFormat="1" ht="61.5" customHeight="1" x14ac:dyDescent="0.35">
      <c r="A47" s="599"/>
      <c r="B47" s="715"/>
      <c r="C47" s="708"/>
      <c r="D47" s="717"/>
      <c r="E47" s="606"/>
      <c r="F47" s="585"/>
      <c r="G47" s="693"/>
      <c r="H47" s="343"/>
      <c r="I47" s="590"/>
      <c r="J47" s="41" t="s">
        <v>254</v>
      </c>
      <c r="K47" s="40">
        <v>0</v>
      </c>
      <c r="L47" s="508"/>
      <c r="M47" s="711"/>
    </row>
    <row r="48" spans="1:13" s="29" customFormat="1" ht="10" customHeight="1" x14ac:dyDescent="0.35">
      <c r="A48" s="651">
        <v>17</v>
      </c>
      <c r="B48" s="696" t="s">
        <v>278</v>
      </c>
      <c r="C48" s="698" t="s">
        <v>262</v>
      </c>
      <c r="D48" s="700"/>
      <c r="E48" s="566"/>
      <c r="F48" s="568"/>
      <c r="G48" s="681" t="s">
        <v>37</v>
      </c>
      <c r="H48" s="423">
        <f>IF(G48='Response Guidelines'!$D$80,'Response Guidelines'!$C$80, IF(G48='Response Guidelines'!$D$81,'Response Guidelines'!$C$81,IF(G48='Response Guidelines'!$D$82,'Response Guidelines'!$C$82,IF(G48='Response Guidelines'!$D$83,'Response Guidelines'!$C$83,IF(G48='Response Guidelines'!$D$84,'Response Guidelines'!$C$84,IF(G48='Response Guidelines'!$D$85,'Response Guidelines'!$C$85,IF(G48='Response Guidelines'!$D$86,'Response Guidelines'!$C$86,"No Rating")))))))</f>
        <v>6</v>
      </c>
      <c r="I48" s="425">
        <f>(H48/$H$97)/_xlfn.XLOOKUP('Scoring Summary'!$D$16,'Response Guidelines'!$D$91:$D$190,'Response Guidelines'!$C$91:$C$190,"",0,1)</f>
        <v>5.9602649006622122E-3</v>
      </c>
      <c r="J48" s="188" t="s">
        <v>253</v>
      </c>
      <c r="K48" s="176">
        <f>I48</f>
        <v>5.9602649006622122E-3</v>
      </c>
      <c r="L48" s="496"/>
      <c r="M48" s="453"/>
    </row>
    <row r="49" spans="1:13" s="29" customFormat="1" ht="40.5" customHeight="1" x14ac:dyDescent="0.35">
      <c r="A49" s="673"/>
      <c r="B49" s="697"/>
      <c r="C49" s="699"/>
      <c r="D49" s="701"/>
      <c r="E49" s="567"/>
      <c r="F49" s="443"/>
      <c r="G49" s="682"/>
      <c r="H49" s="683"/>
      <c r="I49" s="684"/>
      <c r="J49" s="207" t="s">
        <v>254</v>
      </c>
      <c r="K49" s="178">
        <v>0</v>
      </c>
      <c r="L49" s="486"/>
      <c r="M49" s="402"/>
    </row>
    <row r="50" spans="1:13" s="29" customFormat="1" ht="30" x14ac:dyDescent="0.35">
      <c r="A50" s="597">
        <v>18</v>
      </c>
      <c r="B50" s="687" t="s">
        <v>279</v>
      </c>
      <c r="C50" s="706" t="s">
        <v>280</v>
      </c>
      <c r="D50" s="702"/>
      <c r="E50" s="605"/>
      <c r="F50" s="441"/>
      <c r="G50" s="380" t="s">
        <v>37</v>
      </c>
      <c r="H50" s="310">
        <f>IF(G50='Response Guidelines'!$D$80,'Response Guidelines'!$C$80, IF(G50='Response Guidelines'!$D$81,'Response Guidelines'!$C$81,IF(G50='Response Guidelines'!$D$82,'Response Guidelines'!$C$82,IF(G50='Response Guidelines'!$D$83,'Response Guidelines'!$C$83,IF(G50='Response Guidelines'!$D$84,'Response Guidelines'!$C$84,IF(G50='Response Guidelines'!$D$85,'Response Guidelines'!$C$85,IF(G50='Response Guidelines'!$D$86,'Response Guidelines'!$C$86,"No Rating")))))))</f>
        <v>6</v>
      </c>
      <c r="I50" s="311">
        <f>(H50/$H$97)/_xlfn.XLOOKUP('Scoring Summary'!$D$16,'Response Guidelines'!$D$91:$D$190,'Response Guidelines'!$C$91:$C$190,"",0,1)</f>
        <v>5.9602649006622122E-3</v>
      </c>
      <c r="J50" s="43" t="s">
        <v>281</v>
      </c>
      <c r="K50" s="42">
        <f>I50</f>
        <v>5.9602649006622122E-3</v>
      </c>
      <c r="L50" s="313"/>
      <c r="M50" s="694"/>
    </row>
    <row r="51" spans="1:13" s="29" customFormat="1" ht="34.5" customHeight="1" x14ac:dyDescent="0.35">
      <c r="A51" s="599"/>
      <c r="B51" s="644"/>
      <c r="C51" s="663"/>
      <c r="D51" s="703"/>
      <c r="E51" s="606"/>
      <c r="F51" s="585"/>
      <c r="G51" s="693"/>
      <c r="H51" s="343"/>
      <c r="I51" s="590"/>
      <c r="J51" s="41" t="s">
        <v>282</v>
      </c>
      <c r="K51" s="40">
        <v>0</v>
      </c>
      <c r="L51" s="487"/>
      <c r="M51" s="695"/>
    </row>
    <row r="52" spans="1:13" s="29" customFormat="1" ht="20" x14ac:dyDescent="0.35">
      <c r="A52" s="651">
        <v>19</v>
      </c>
      <c r="B52" s="709" t="s">
        <v>283</v>
      </c>
      <c r="C52" s="698" t="s">
        <v>284</v>
      </c>
      <c r="D52" s="700"/>
      <c r="E52" s="566"/>
      <c r="F52" s="568"/>
      <c r="G52" s="681" t="s">
        <v>73</v>
      </c>
      <c r="H52" s="423">
        <f>IF(G52='Response Guidelines'!$D$80,'Response Guidelines'!$C$80, IF(G52='Response Guidelines'!$D$81,'Response Guidelines'!$C$81,IF(G52='Response Guidelines'!$D$82,'Response Guidelines'!$C$82,IF(G52='Response Guidelines'!$D$83,'Response Guidelines'!$C$83,IF(G52='Response Guidelines'!$D$84,'Response Guidelines'!$C$84,IF(G52='Response Guidelines'!$D$85,'Response Guidelines'!$C$85,IF(G52='Response Guidelines'!$D$86,'Response Guidelines'!$C$86,"No Rating")))))))</f>
        <v>5</v>
      </c>
      <c r="I52" s="425">
        <f>(H52/$H$97)/_xlfn.XLOOKUP('Scoring Summary'!$D$16,'Response Guidelines'!$D$91:$D$190,'Response Guidelines'!$C$91:$C$190,"",0,1)</f>
        <v>4.9668874172185103E-3</v>
      </c>
      <c r="J52" s="188" t="s">
        <v>285</v>
      </c>
      <c r="K52" s="176">
        <f>I52</f>
        <v>4.9668874172185103E-3</v>
      </c>
      <c r="L52" s="496"/>
      <c r="M52" s="453"/>
    </row>
    <row r="53" spans="1:13" s="29" customFormat="1" ht="45.75" customHeight="1" x14ac:dyDescent="0.35">
      <c r="A53" s="673"/>
      <c r="B53" s="710"/>
      <c r="C53" s="699"/>
      <c r="D53" s="701"/>
      <c r="E53" s="567"/>
      <c r="F53" s="443"/>
      <c r="G53" s="682"/>
      <c r="H53" s="683"/>
      <c r="I53" s="684"/>
      <c r="J53" s="207" t="s">
        <v>286</v>
      </c>
      <c r="K53" s="178">
        <v>0</v>
      </c>
      <c r="L53" s="486"/>
      <c r="M53" s="402"/>
    </row>
    <row r="54" spans="1:13" s="29" customFormat="1" ht="10" customHeight="1" x14ac:dyDescent="0.35">
      <c r="A54" s="597">
        <v>20</v>
      </c>
      <c r="B54" s="704" t="s">
        <v>287</v>
      </c>
      <c r="C54" s="707" t="s">
        <v>288</v>
      </c>
      <c r="D54" s="702"/>
      <c r="E54" s="605"/>
      <c r="F54" s="441"/>
      <c r="G54" s="380" t="s">
        <v>72</v>
      </c>
      <c r="H54" s="310">
        <f>IF(G54='Response Guidelines'!$D$80,'Response Guidelines'!$C$80, IF(G54='Response Guidelines'!$D$81,'Response Guidelines'!$C$81,IF(G54='Response Guidelines'!$D$82,'Response Guidelines'!$C$82,IF(G54='Response Guidelines'!$D$83,'Response Guidelines'!$C$83,IF(G54='Response Guidelines'!$D$84,'Response Guidelines'!$C$84,IF(G54='Response Guidelines'!$D$85,'Response Guidelines'!$C$85,IF(G54='Response Guidelines'!$D$86,'Response Guidelines'!$C$86,"No Rating")))))))</f>
        <v>4</v>
      </c>
      <c r="I54" s="311">
        <f>(H54/$H$97)/_xlfn.XLOOKUP('Scoring Summary'!$D$16,'Response Guidelines'!$D$91:$D$190,'Response Guidelines'!$C$91:$C$190,"",0,1)</f>
        <v>3.9735099337748075E-3</v>
      </c>
      <c r="J54" s="43" t="s">
        <v>289</v>
      </c>
      <c r="K54" s="42">
        <f>I54</f>
        <v>3.9735099337748075E-3</v>
      </c>
      <c r="L54" s="313"/>
      <c r="M54" s="694"/>
    </row>
    <row r="55" spans="1:13" s="29" customFormat="1" ht="49.5" customHeight="1" x14ac:dyDescent="0.35">
      <c r="A55" s="599"/>
      <c r="B55" s="705"/>
      <c r="C55" s="708"/>
      <c r="D55" s="703"/>
      <c r="E55" s="606"/>
      <c r="F55" s="585"/>
      <c r="G55" s="693"/>
      <c r="H55" s="343"/>
      <c r="I55" s="590"/>
      <c r="J55" s="41" t="s">
        <v>290</v>
      </c>
      <c r="K55" s="40">
        <v>0</v>
      </c>
      <c r="L55" s="487"/>
      <c r="M55" s="695"/>
    </row>
    <row r="56" spans="1:13" s="29" customFormat="1" ht="20" x14ac:dyDescent="0.35">
      <c r="A56" s="651">
        <v>21</v>
      </c>
      <c r="B56" s="709" t="s">
        <v>291</v>
      </c>
      <c r="C56" s="698" t="s">
        <v>292</v>
      </c>
      <c r="D56" s="700"/>
      <c r="E56" s="566"/>
      <c r="F56" s="568"/>
      <c r="G56" s="681" t="s">
        <v>72</v>
      </c>
      <c r="H56" s="423">
        <f>IF(G56='Response Guidelines'!$D$80,'Response Guidelines'!$C$80, IF(G56='Response Guidelines'!$D$81,'Response Guidelines'!$C$81,IF(G56='Response Guidelines'!$D$82,'Response Guidelines'!$C$82,IF(G56='Response Guidelines'!$D$83,'Response Guidelines'!$C$83,IF(G56='Response Guidelines'!$D$84,'Response Guidelines'!$C$84,IF(G56='Response Guidelines'!$D$85,'Response Guidelines'!$C$85,IF(G56='Response Guidelines'!$D$86,'Response Guidelines'!$C$86,"No Rating")))))))</f>
        <v>4</v>
      </c>
      <c r="I56" s="425">
        <f>(H56/$H$97)/_xlfn.XLOOKUP('Scoring Summary'!$D$16,'Response Guidelines'!$D$91:$D$190,'Response Guidelines'!$C$91:$C$190,"",0,1)</f>
        <v>3.9735099337748075E-3</v>
      </c>
      <c r="J56" s="188" t="s">
        <v>293</v>
      </c>
      <c r="K56" s="176">
        <f>I56</f>
        <v>3.9735099337748075E-3</v>
      </c>
      <c r="L56" s="496"/>
      <c r="M56" s="453"/>
    </row>
    <row r="57" spans="1:13" s="29" customFormat="1" ht="36.75" customHeight="1" x14ac:dyDescent="0.35">
      <c r="A57" s="673"/>
      <c r="B57" s="710"/>
      <c r="C57" s="699"/>
      <c r="D57" s="701"/>
      <c r="E57" s="567"/>
      <c r="F57" s="443"/>
      <c r="G57" s="682"/>
      <c r="H57" s="683"/>
      <c r="I57" s="684"/>
      <c r="J57" s="207" t="s">
        <v>294</v>
      </c>
      <c r="K57" s="178">
        <v>0</v>
      </c>
      <c r="L57" s="486"/>
      <c r="M57" s="402"/>
    </row>
    <row r="58" spans="1:13" s="29" customFormat="1" ht="10" customHeight="1" x14ac:dyDescent="0.35">
      <c r="A58" s="597">
        <v>22</v>
      </c>
      <c r="B58" s="704" t="s">
        <v>295</v>
      </c>
      <c r="C58" s="706" t="s">
        <v>296</v>
      </c>
      <c r="D58" s="702"/>
      <c r="E58" s="605"/>
      <c r="F58" s="441"/>
      <c r="G58" s="380" t="s">
        <v>72</v>
      </c>
      <c r="H58" s="310">
        <f>IF(G58='Response Guidelines'!$D$80,'Response Guidelines'!$C$80, IF(G58='Response Guidelines'!$D$81,'Response Guidelines'!$C$81,IF(G58='Response Guidelines'!$D$82,'Response Guidelines'!$C$82,IF(G58='Response Guidelines'!$D$83,'Response Guidelines'!$C$83,IF(G58='Response Guidelines'!$D$84,'Response Guidelines'!$C$84,IF(G58='Response Guidelines'!$D$85,'Response Guidelines'!$C$85,IF(G58='Response Guidelines'!$D$86,'Response Guidelines'!$C$86,"No Rating")))))))</f>
        <v>4</v>
      </c>
      <c r="I58" s="311">
        <f>(H58/$H$97)/_xlfn.XLOOKUP('Scoring Summary'!$D$16,'Response Guidelines'!$D$91:$D$190,'Response Guidelines'!$C$91:$C$190,"",0,1)</f>
        <v>3.9735099337748075E-3</v>
      </c>
      <c r="J58" s="43" t="s">
        <v>297</v>
      </c>
      <c r="K58" s="42">
        <f>I58</f>
        <v>3.9735099337748075E-3</v>
      </c>
      <c r="L58" s="313"/>
      <c r="M58" s="694"/>
    </row>
    <row r="59" spans="1:13" s="29" customFormat="1" ht="36.75" customHeight="1" x14ac:dyDescent="0.35">
      <c r="A59" s="599"/>
      <c r="B59" s="705"/>
      <c r="C59" s="663"/>
      <c r="D59" s="703"/>
      <c r="E59" s="606"/>
      <c r="F59" s="585"/>
      <c r="G59" s="693"/>
      <c r="H59" s="343"/>
      <c r="I59" s="590"/>
      <c r="J59" s="160" t="s">
        <v>298</v>
      </c>
      <c r="K59" s="40">
        <v>0</v>
      </c>
      <c r="L59" s="487"/>
      <c r="M59" s="695"/>
    </row>
    <row r="60" spans="1:13" s="29" customFormat="1" ht="10" customHeight="1" x14ac:dyDescent="0.35">
      <c r="A60" s="651">
        <v>23</v>
      </c>
      <c r="B60" s="753" t="s">
        <v>299</v>
      </c>
      <c r="C60" s="742" t="s">
        <v>300</v>
      </c>
      <c r="D60" s="721"/>
      <c r="E60" s="492"/>
      <c r="F60" s="685"/>
      <c r="G60" s="681" t="s">
        <v>33</v>
      </c>
      <c r="H60" s="423">
        <f>IF(G60='Response Guidelines'!$D$80,'Response Guidelines'!$C$80, IF(G60='Response Guidelines'!$D$81,'Response Guidelines'!$C$81,IF(G60='Response Guidelines'!$D$82,'Response Guidelines'!$C$82,IF(G60='Response Guidelines'!$D$83,'Response Guidelines'!$C$83,IF(G60='Response Guidelines'!$D$84,'Response Guidelines'!$C$84,IF(G60='Response Guidelines'!$D$85,'Response Guidelines'!$C$85,IF(G60='Response Guidelines'!$D$86,'Response Guidelines'!$C$86,"No Rating")))))))</f>
        <v>3</v>
      </c>
      <c r="I60" s="425">
        <f>(H60/$H$97)/_xlfn.XLOOKUP('Scoring Summary'!$D$16,'Response Guidelines'!$D$91:$D$190,'Response Guidelines'!$C$91:$C$190,"",0,1)</f>
        <v>2.9801324503311061E-3</v>
      </c>
      <c r="J60" s="188" t="s">
        <v>301</v>
      </c>
      <c r="K60" s="176">
        <f>I60</f>
        <v>2.9801324503311061E-3</v>
      </c>
      <c r="L60" s="496"/>
      <c r="M60" s="453"/>
    </row>
    <row r="61" spans="1:13" s="29" customFormat="1" ht="138.75" customHeight="1" x14ac:dyDescent="0.35">
      <c r="A61" s="673"/>
      <c r="B61" s="754"/>
      <c r="C61" s="743"/>
      <c r="D61" s="724"/>
      <c r="E61" s="493"/>
      <c r="F61" s="713"/>
      <c r="G61" s="682"/>
      <c r="H61" s="683"/>
      <c r="I61" s="684"/>
      <c r="J61" s="207" t="s">
        <v>302</v>
      </c>
      <c r="K61" s="178">
        <v>0</v>
      </c>
      <c r="L61" s="497"/>
      <c r="M61" s="455"/>
    </row>
    <row r="62" spans="1:13" s="29" customFormat="1" ht="11.25" customHeight="1" x14ac:dyDescent="0.2">
      <c r="A62" s="597">
        <v>24</v>
      </c>
      <c r="B62" s="687" t="s">
        <v>303</v>
      </c>
      <c r="C62" s="688" t="s">
        <v>304</v>
      </c>
      <c r="D62" s="690"/>
      <c r="E62" s="456"/>
      <c r="F62" s="376"/>
      <c r="G62" s="380" t="s">
        <v>72</v>
      </c>
      <c r="H62" s="310">
        <f>IF(G62='Response Guidelines'!$D$80,'Response Guidelines'!$C$80, IF(G62='Response Guidelines'!$D$81,'Response Guidelines'!$C$81,IF(G62='Response Guidelines'!$D$82,'Response Guidelines'!$C$82,IF(G62='Response Guidelines'!$D$83,'Response Guidelines'!$C$83,IF(G62='Response Guidelines'!$D$84,'Response Guidelines'!$C$84,IF(G62='Response Guidelines'!$D$85,'Response Guidelines'!$C$85,IF(G62='Response Guidelines'!$D$86,'Response Guidelines'!$C$86,"No Rating")))))))</f>
        <v>4</v>
      </c>
      <c r="I62" s="311">
        <f>(H62/$H$97)/_xlfn.XLOOKUP('Scoring Summary'!$D$16,'Response Guidelines'!$D$91:$D$190,'Response Guidelines'!$C$91:$C$190,"",0,1)</f>
        <v>3.9735099337748075E-3</v>
      </c>
      <c r="J62" s="118" t="s">
        <v>305</v>
      </c>
      <c r="K62" s="42">
        <f>I62</f>
        <v>3.9735099337748075E-3</v>
      </c>
      <c r="L62" s="313"/>
      <c r="M62" s="314"/>
    </row>
    <row r="63" spans="1:13" s="29" customFormat="1" ht="10" x14ac:dyDescent="0.2">
      <c r="A63" s="651"/>
      <c r="B63" s="644"/>
      <c r="C63" s="689"/>
      <c r="D63" s="691"/>
      <c r="E63" s="456"/>
      <c r="F63" s="376"/>
      <c r="G63" s="693"/>
      <c r="H63" s="343"/>
      <c r="I63" s="311"/>
      <c r="J63" s="118" t="s">
        <v>306</v>
      </c>
      <c r="K63" s="38">
        <f>K62*0.8</f>
        <v>3.1788079470198463E-3</v>
      </c>
      <c r="L63" s="313"/>
      <c r="M63" s="314"/>
    </row>
    <row r="64" spans="1:13" s="29" customFormat="1" ht="10" x14ac:dyDescent="0.2">
      <c r="A64" s="651"/>
      <c r="B64" s="644"/>
      <c r="C64" s="689"/>
      <c r="D64" s="691"/>
      <c r="E64" s="456"/>
      <c r="F64" s="376"/>
      <c r="G64" s="693"/>
      <c r="H64" s="343"/>
      <c r="I64" s="311"/>
      <c r="J64" s="118" t="s">
        <v>307</v>
      </c>
      <c r="K64" s="38">
        <f>K62*0.6</f>
        <v>2.3841059602648846E-3</v>
      </c>
      <c r="L64" s="313"/>
      <c r="M64" s="314"/>
    </row>
    <row r="65" spans="1:13" s="29" customFormat="1" ht="10" x14ac:dyDescent="0.2">
      <c r="A65" s="651"/>
      <c r="B65" s="644"/>
      <c r="C65" s="689"/>
      <c r="D65" s="691"/>
      <c r="E65" s="456"/>
      <c r="F65" s="376"/>
      <c r="G65" s="693"/>
      <c r="H65" s="343"/>
      <c r="I65" s="311"/>
      <c r="J65" s="118" t="s">
        <v>308</v>
      </c>
      <c r="K65" s="38">
        <f>K62*0.4</f>
        <v>1.5894039735099231E-3</v>
      </c>
      <c r="L65" s="313"/>
      <c r="M65" s="314"/>
    </row>
    <row r="66" spans="1:13" s="29" customFormat="1" ht="10" x14ac:dyDescent="0.2">
      <c r="A66" s="651"/>
      <c r="B66" s="644"/>
      <c r="C66" s="689"/>
      <c r="D66" s="691"/>
      <c r="E66" s="456"/>
      <c r="F66" s="376"/>
      <c r="G66" s="693"/>
      <c r="H66" s="343"/>
      <c r="I66" s="311"/>
      <c r="J66" s="118" t="s">
        <v>309</v>
      </c>
      <c r="K66" s="38">
        <f>K62*0.2</f>
        <v>7.9470198675496157E-4</v>
      </c>
      <c r="L66" s="313"/>
      <c r="M66" s="314"/>
    </row>
    <row r="67" spans="1:13" s="29" customFormat="1" ht="18" customHeight="1" x14ac:dyDescent="0.2">
      <c r="A67" s="623"/>
      <c r="B67" s="644"/>
      <c r="C67" s="689"/>
      <c r="D67" s="692"/>
      <c r="E67" s="456"/>
      <c r="F67" s="376"/>
      <c r="G67" s="693"/>
      <c r="H67" s="343"/>
      <c r="I67" s="590"/>
      <c r="J67" s="117" t="s">
        <v>310</v>
      </c>
      <c r="K67" s="40">
        <v>0</v>
      </c>
      <c r="L67" s="487"/>
      <c r="M67" s="672"/>
    </row>
    <row r="68" spans="1:13" s="29" customFormat="1" ht="10" x14ac:dyDescent="0.2">
      <c r="A68" s="651">
        <v>25</v>
      </c>
      <c r="B68" s="674" t="s">
        <v>311</v>
      </c>
      <c r="C68" s="676" t="s">
        <v>312</v>
      </c>
      <c r="D68" s="678"/>
      <c r="E68" s="494"/>
      <c r="F68" s="685"/>
      <c r="G68" s="681" t="s">
        <v>73</v>
      </c>
      <c r="H68" s="423">
        <f>IF(G68='Response Guidelines'!$D$80,'Response Guidelines'!$C$80, IF(G68='Response Guidelines'!$D$81,'Response Guidelines'!$C$81,IF(G68='Response Guidelines'!$D$82,'Response Guidelines'!$C$82,IF(G68='Response Guidelines'!$D$83,'Response Guidelines'!$C$83,IF(G68='Response Guidelines'!$D$84,'Response Guidelines'!$C$84,IF(G68='Response Guidelines'!$D$85,'Response Guidelines'!$C$85,IF(G68='Response Guidelines'!$D$86,'Response Guidelines'!$C$86,"No Rating")))))))</f>
        <v>5</v>
      </c>
      <c r="I68" s="425">
        <f>(H68/$H$97)/_xlfn.XLOOKUP('Scoring Summary'!$D$16,'Response Guidelines'!$D$91:$D$190,'Response Guidelines'!$C$91:$C$190,"",0,1)</f>
        <v>4.9668874172185103E-3</v>
      </c>
      <c r="J68" s="213" t="s">
        <v>313</v>
      </c>
      <c r="K68" s="176">
        <f>I68</f>
        <v>4.9668874172185103E-3</v>
      </c>
      <c r="L68" s="496"/>
      <c r="M68" s="453"/>
    </row>
    <row r="69" spans="1:13" s="29" customFormat="1" ht="46.5" customHeight="1" x14ac:dyDescent="0.2">
      <c r="A69" s="673"/>
      <c r="B69" s="675"/>
      <c r="C69" s="677"/>
      <c r="D69" s="679"/>
      <c r="E69" s="680"/>
      <c r="F69" s="686"/>
      <c r="G69" s="682"/>
      <c r="H69" s="683"/>
      <c r="I69" s="684"/>
      <c r="J69" s="214" t="s">
        <v>314</v>
      </c>
      <c r="K69" s="178">
        <v>0</v>
      </c>
      <c r="L69" s="497"/>
      <c r="M69" s="455"/>
    </row>
    <row r="70" spans="1:13" s="29" customFormat="1" ht="11.25" customHeight="1" x14ac:dyDescent="0.2">
      <c r="A70" s="625">
        <v>26</v>
      </c>
      <c r="B70" s="687" t="s">
        <v>315</v>
      </c>
      <c r="C70" s="706" t="s">
        <v>316</v>
      </c>
      <c r="D70" s="774"/>
      <c r="E70" s="433"/>
      <c r="F70" s="384"/>
      <c r="G70" s="380" t="s">
        <v>73</v>
      </c>
      <c r="H70" s="310">
        <f>IF(G70='Response Guidelines'!$D$80,'Response Guidelines'!$C$80, IF(G70='Response Guidelines'!$D$81,'Response Guidelines'!$C$81,IF(G70='Response Guidelines'!$D$82,'Response Guidelines'!$C$82,IF(G70='Response Guidelines'!$D$83,'Response Guidelines'!$C$83,IF(G70='Response Guidelines'!$D$84,'Response Guidelines'!$C$84,IF(G70='Response Guidelines'!$D$85,'Response Guidelines'!$C$85,IF(G70='Response Guidelines'!$D$86,'Response Guidelines'!$C$86,"No Rating")))))))</f>
        <v>5</v>
      </c>
      <c r="I70" s="311">
        <f>(H70/$H$97)/_xlfn.XLOOKUP('Scoring Summary'!$D$16,'Response Guidelines'!$D$91:$D$190,'Response Guidelines'!$C$91:$C$190,"",0,1)</f>
        <v>4.9668874172185103E-3</v>
      </c>
      <c r="J70" s="118" t="s">
        <v>317</v>
      </c>
      <c r="K70" s="42">
        <f>I70</f>
        <v>4.9668874172185103E-3</v>
      </c>
      <c r="L70" s="313"/>
      <c r="M70" s="694"/>
    </row>
    <row r="71" spans="1:13" s="29" customFormat="1" ht="11.25" customHeight="1" x14ac:dyDescent="0.2">
      <c r="A71" s="626"/>
      <c r="B71" s="687"/>
      <c r="C71" s="706"/>
      <c r="D71" s="759"/>
      <c r="E71" s="433"/>
      <c r="F71" s="384"/>
      <c r="G71" s="380"/>
      <c r="H71" s="310"/>
      <c r="I71" s="312"/>
      <c r="J71" s="118" t="s">
        <v>318</v>
      </c>
      <c r="K71" s="38">
        <f>I70*0.66</f>
        <v>3.2781456953642168E-3</v>
      </c>
      <c r="L71" s="304"/>
      <c r="M71" s="773"/>
    </row>
    <row r="72" spans="1:13" s="29" customFormat="1" ht="10" x14ac:dyDescent="0.2">
      <c r="A72" s="626"/>
      <c r="B72" s="687"/>
      <c r="C72" s="706"/>
      <c r="D72" s="759"/>
      <c r="E72" s="433"/>
      <c r="F72" s="384"/>
      <c r="G72" s="380"/>
      <c r="H72" s="310"/>
      <c r="I72" s="312"/>
      <c r="J72" s="117" t="s">
        <v>319</v>
      </c>
      <c r="K72" s="38">
        <f>I70*0.33</f>
        <v>1.6390728476821084E-3</v>
      </c>
      <c r="L72" s="304"/>
      <c r="M72" s="773"/>
    </row>
    <row r="73" spans="1:13" s="29" customFormat="1" ht="80.25" customHeight="1" x14ac:dyDescent="0.2">
      <c r="A73" s="627"/>
      <c r="B73" s="687"/>
      <c r="C73" s="706"/>
      <c r="D73" s="759"/>
      <c r="E73" s="433"/>
      <c r="F73" s="384"/>
      <c r="G73" s="380"/>
      <c r="H73" s="310"/>
      <c r="I73" s="450"/>
      <c r="J73" s="215" t="s">
        <v>320</v>
      </c>
      <c r="K73" s="40">
        <v>0</v>
      </c>
      <c r="L73" s="508"/>
      <c r="M73" s="711"/>
    </row>
    <row r="74" spans="1:13" s="29" customFormat="1" ht="39" customHeight="1" x14ac:dyDescent="0.2">
      <c r="A74" s="651">
        <v>27</v>
      </c>
      <c r="B74" s="674" t="s">
        <v>321</v>
      </c>
      <c r="C74" s="756" t="s">
        <v>322</v>
      </c>
      <c r="D74" s="678"/>
      <c r="E74" s="494"/>
      <c r="F74" s="685"/>
      <c r="G74" s="681" t="s">
        <v>73</v>
      </c>
      <c r="H74" s="423">
        <f>IF(G74='Response Guidelines'!$D$80,'Response Guidelines'!$C$80, IF(G74='Response Guidelines'!$D$81,'Response Guidelines'!$C$81,IF(G74='Response Guidelines'!$D$82,'Response Guidelines'!$C$82,IF(G74='Response Guidelines'!$D$83,'Response Guidelines'!$C$83,IF(G74='Response Guidelines'!$D$84,'Response Guidelines'!$C$84,IF(G74='Response Guidelines'!$D$85,'Response Guidelines'!$C$85,IF(G74='Response Guidelines'!$D$86,'Response Guidelines'!$C$86,"No Rating")))))))</f>
        <v>5</v>
      </c>
      <c r="I74" s="425">
        <f>(H74/$H$97)/_xlfn.XLOOKUP('Scoring Summary'!$D$16,'Response Guidelines'!$D$91:$D$190,'Response Guidelines'!$C$91:$C$190,"",0,1)</f>
        <v>4.9668874172185103E-3</v>
      </c>
      <c r="J74" s="213" t="s">
        <v>323</v>
      </c>
      <c r="K74" s="176">
        <f>I74</f>
        <v>4.9668874172185103E-3</v>
      </c>
      <c r="L74" s="496"/>
      <c r="M74" s="453"/>
    </row>
    <row r="75" spans="1:13" s="29" customFormat="1" ht="22.5" customHeight="1" x14ac:dyDescent="0.2">
      <c r="A75" s="598"/>
      <c r="B75" s="687"/>
      <c r="C75" s="757"/>
      <c r="D75" s="759"/>
      <c r="E75" s="433"/>
      <c r="F75" s="384"/>
      <c r="G75" s="380"/>
      <c r="H75" s="310"/>
      <c r="I75" s="312"/>
      <c r="J75" s="118" t="s">
        <v>324</v>
      </c>
      <c r="K75" s="38">
        <f>I74*0.5</f>
        <v>2.4834437086092551E-3</v>
      </c>
      <c r="L75" s="304"/>
      <c r="M75" s="454"/>
    </row>
    <row r="76" spans="1:13" s="29" customFormat="1" ht="22.5" customHeight="1" x14ac:dyDescent="0.2">
      <c r="A76" s="599"/>
      <c r="B76" s="755"/>
      <c r="C76" s="758"/>
      <c r="D76" s="679"/>
      <c r="E76" s="495"/>
      <c r="F76" s="713"/>
      <c r="G76" s="380"/>
      <c r="H76" s="310"/>
      <c r="I76" s="450"/>
      <c r="J76" s="117" t="s">
        <v>325</v>
      </c>
      <c r="K76" s="40">
        <v>0</v>
      </c>
      <c r="L76" s="508"/>
      <c r="M76" s="510"/>
    </row>
    <row r="77" spans="1:13" s="29" customFormat="1" ht="11.25" customHeight="1" x14ac:dyDescent="0.2">
      <c r="A77" s="651">
        <v>28</v>
      </c>
      <c r="B77" s="643" t="s">
        <v>326</v>
      </c>
      <c r="C77" s="645" t="s">
        <v>327</v>
      </c>
      <c r="D77" s="647"/>
      <c r="E77" s="649"/>
      <c r="F77" s="771"/>
      <c r="G77" s="511" t="s">
        <v>72</v>
      </c>
      <c r="H77" s="632">
        <f>IF(G77='Response Guidelines'!$D$80,'Response Guidelines'!$C$80, IF(G77='Response Guidelines'!$D$81,'Response Guidelines'!$C$81,IF(G77='Response Guidelines'!$D$82,'Response Guidelines'!$C$82,IF(G77='Response Guidelines'!$D$83,'Response Guidelines'!$C$83,IF(G77='Response Guidelines'!$D$84,'Response Guidelines'!$C$84,IF(G77='Response Guidelines'!$D$85,'Response Guidelines'!$C$85,IF(G77='Response Guidelines'!$D$86,'Response Guidelines'!$C$86,"No Rating")))))))</f>
        <v>4</v>
      </c>
      <c r="I77" s="425">
        <f>(H77/$H$97)/_xlfn.XLOOKUP('Scoring Summary'!$D$16,'Response Guidelines'!$D$91:$D$190,'Response Guidelines'!$C$91:$C$190,"",0,1)</f>
        <v>3.9735099337748075E-3</v>
      </c>
      <c r="J77" s="213" t="s">
        <v>328</v>
      </c>
      <c r="K77" s="176">
        <f>I77</f>
        <v>3.9735099337748075E-3</v>
      </c>
      <c r="L77" s="496"/>
      <c r="M77" s="453"/>
    </row>
    <row r="78" spans="1:13" s="29" customFormat="1" ht="43.5" customHeight="1" x14ac:dyDescent="0.2">
      <c r="A78" s="599"/>
      <c r="B78" s="644"/>
      <c r="C78" s="646"/>
      <c r="D78" s="648"/>
      <c r="E78" s="650"/>
      <c r="F78" s="750"/>
      <c r="G78" s="502"/>
      <c r="H78" s="343"/>
      <c r="I78" s="450"/>
      <c r="J78" s="215" t="s">
        <v>329</v>
      </c>
      <c r="K78" s="40">
        <v>0</v>
      </c>
      <c r="L78" s="508"/>
      <c r="M78" s="510"/>
    </row>
    <row r="79" spans="1:13" s="29" customFormat="1" ht="11.25" customHeight="1" x14ac:dyDescent="0.35">
      <c r="A79" s="651">
        <v>29</v>
      </c>
      <c r="B79" s="658" t="s">
        <v>330</v>
      </c>
      <c r="C79" s="661" t="s">
        <v>331</v>
      </c>
      <c r="D79" s="216"/>
      <c r="E79" s="664"/>
      <c r="F79" s="630"/>
      <c r="G79" s="511" t="s">
        <v>37</v>
      </c>
      <c r="H79" s="632">
        <f>IF(G79='Response Guidelines'!$D$80,'Response Guidelines'!$C$80, IF(G79='Response Guidelines'!$D$81,'Response Guidelines'!$C$81,IF(G79='Response Guidelines'!$D$82,'Response Guidelines'!$C$82,IF(G79='Response Guidelines'!$D$83,'Response Guidelines'!$C$83,IF(G79='Response Guidelines'!$D$84,'Response Guidelines'!$C$84,IF(G79='Response Guidelines'!$D$85,'Response Guidelines'!$C$85,IF(G79='Response Guidelines'!$D$86,'Response Guidelines'!$C$86,"No Rating")))))))</f>
        <v>6</v>
      </c>
      <c r="I79" s="425">
        <f>(H79/$H$97)/_xlfn.XLOOKUP('Scoring Summary'!$D$16,'Response Guidelines'!$D$91:$D$190,'Response Guidelines'!$C$91:$C$190,"",0,1)</f>
        <v>5.9602649006622122E-3</v>
      </c>
      <c r="J79" s="188" t="s">
        <v>332</v>
      </c>
      <c r="K79" s="176">
        <f>I79*0.35</f>
        <v>2.0860927152317743E-3</v>
      </c>
      <c r="L79" s="176"/>
      <c r="M79" s="634"/>
    </row>
    <row r="80" spans="1:13" s="29" customFormat="1" ht="10" x14ac:dyDescent="0.35">
      <c r="A80" s="598"/>
      <c r="B80" s="659"/>
      <c r="C80" s="662"/>
      <c r="D80" s="128"/>
      <c r="E80" s="665"/>
      <c r="F80" s="631"/>
      <c r="G80" s="507"/>
      <c r="H80" s="633"/>
      <c r="I80" s="312"/>
      <c r="J80" s="39" t="s">
        <v>333</v>
      </c>
      <c r="K80" s="38">
        <f>I79*0.2</f>
        <v>1.1920529801324425E-3</v>
      </c>
      <c r="L80" s="38"/>
      <c r="M80" s="635"/>
    </row>
    <row r="81" spans="1:13" s="29" customFormat="1" ht="10" x14ac:dyDescent="0.35">
      <c r="A81" s="598"/>
      <c r="B81" s="659"/>
      <c r="C81" s="662"/>
      <c r="D81" s="128"/>
      <c r="E81" s="665"/>
      <c r="F81" s="631"/>
      <c r="G81" s="507"/>
      <c r="H81" s="633"/>
      <c r="I81" s="312"/>
      <c r="J81" s="45" t="s">
        <v>334</v>
      </c>
      <c r="K81" s="38">
        <f>I79*0.1</f>
        <v>5.9602649006622126E-4</v>
      </c>
      <c r="L81" s="38"/>
      <c r="M81" s="635"/>
    </row>
    <row r="82" spans="1:13" s="29" customFormat="1" ht="10" x14ac:dyDescent="0.35">
      <c r="A82" s="598"/>
      <c r="B82" s="659"/>
      <c r="C82" s="662"/>
      <c r="D82" s="128"/>
      <c r="E82" s="665"/>
      <c r="F82" s="631"/>
      <c r="G82" s="507"/>
      <c r="H82" s="633"/>
      <c r="I82" s="312"/>
      <c r="J82" s="45" t="s">
        <v>335</v>
      </c>
      <c r="K82" s="38">
        <f>I79*0.15</f>
        <v>8.9403973509933178E-4</v>
      </c>
      <c r="L82" s="38"/>
      <c r="M82" s="635"/>
    </row>
    <row r="83" spans="1:13" s="29" customFormat="1" ht="10" x14ac:dyDescent="0.2">
      <c r="A83" s="598"/>
      <c r="B83" s="659"/>
      <c r="C83" s="662"/>
      <c r="D83" s="128"/>
      <c r="E83" s="665"/>
      <c r="F83" s="631"/>
      <c r="G83" s="507"/>
      <c r="H83" s="633"/>
      <c r="I83" s="312"/>
      <c r="J83" s="286" t="s">
        <v>336</v>
      </c>
      <c r="K83" s="38">
        <f>I79*0.15</f>
        <v>8.9403973509933178E-4</v>
      </c>
      <c r="L83" s="38"/>
      <c r="M83" s="635"/>
    </row>
    <row r="84" spans="1:13" s="29" customFormat="1" ht="80.25" customHeight="1" x14ac:dyDescent="0.35">
      <c r="A84" s="599"/>
      <c r="B84" s="660"/>
      <c r="C84" s="663"/>
      <c r="D84" s="159"/>
      <c r="E84" s="340"/>
      <c r="F84" s="341"/>
      <c r="G84" s="502"/>
      <c r="H84" s="343"/>
      <c r="I84" s="450"/>
      <c r="J84" s="44" t="s">
        <v>337</v>
      </c>
      <c r="K84" s="40">
        <f>I23*0.25</f>
        <v>0</v>
      </c>
      <c r="L84" s="40"/>
      <c r="M84" s="636"/>
    </row>
    <row r="85" spans="1:13" s="29" customFormat="1" ht="80.25" customHeight="1" x14ac:dyDescent="0.2">
      <c r="A85" s="561">
        <v>30</v>
      </c>
      <c r="B85" s="763" t="s">
        <v>338</v>
      </c>
      <c r="C85" s="766" t="s">
        <v>339</v>
      </c>
      <c r="D85" s="667"/>
      <c r="E85" s="473"/>
      <c r="F85" s="476"/>
      <c r="G85" s="513" t="s">
        <v>72</v>
      </c>
      <c r="H85" s="423">
        <f>IF(G85='Response Guidelines'!$D$80,'Response Guidelines'!$C$80, IF(G85='Response Guidelines'!$D$81,'Response Guidelines'!$C$81,IF(G85='Response Guidelines'!$D$82,'Response Guidelines'!$C$82,IF(G85='Response Guidelines'!$D$83,'Response Guidelines'!$C$83,IF(G85='Response Guidelines'!$D$84,'Response Guidelines'!$C$84,IF(G85='Response Guidelines'!$D$85,'Response Guidelines'!$C$85,IF(G85='Response Guidelines'!$D$86,'Response Guidelines'!$C$86,"No Rating")))))))</f>
        <v>4</v>
      </c>
      <c r="I85" s="772">
        <f>(H85/$H$97)/_xlfn.XLOOKUP('Scoring Summary'!$D$16,'Response Guidelines'!$D$91:$D$190,'Response Guidelines'!$C$91:$C$190,"",0,1)</f>
        <v>3.9735099337748075E-3</v>
      </c>
      <c r="J85" s="229" t="s">
        <v>340</v>
      </c>
      <c r="K85" s="230">
        <f>I85</f>
        <v>3.9735099337748075E-3</v>
      </c>
      <c r="L85" s="496"/>
      <c r="M85" s="638"/>
    </row>
    <row r="86" spans="1:13" s="29" customFormat="1" ht="80.25" customHeight="1" x14ac:dyDescent="0.2">
      <c r="A86" s="641"/>
      <c r="B86" s="764"/>
      <c r="C86" s="767"/>
      <c r="D86" s="666"/>
      <c r="E86" s="474"/>
      <c r="F86" s="469"/>
      <c r="G86" s="514"/>
      <c r="H86" s="310"/>
      <c r="I86" s="590"/>
      <c r="J86" s="137" t="s">
        <v>341</v>
      </c>
      <c r="K86" s="36">
        <f>0%</f>
        <v>0</v>
      </c>
      <c r="L86" s="637"/>
      <c r="M86" s="639"/>
    </row>
    <row r="87" spans="1:13" s="29" customFormat="1" ht="80.25" customHeight="1" x14ac:dyDescent="0.2">
      <c r="A87" s="642"/>
      <c r="B87" s="765"/>
      <c r="C87" s="768"/>
      <c r="D87" s="668"/>
      <c r="E87" s="475"/>
      <c r="F87" s="477"/>
      <c r="G87" s="515"/>
      <c r="H87" s="424"/>
      <c r="I87" s="684"/>
      <c r="J87" s="231" t="s">
        <v>342</v>
      </c>
      <c r="K87" s="221">
        <f>0%</f>
        <v>0</v>
      </c>
      <c r="L87" s="222"/>
      <c r="M87" s="640"/>
    </row>
    <row r="88" spans="1:13" s="29" customFormat="1" ht="80.25" customHeight="1" x14ac:dyDescent="0.35">
      <c r="A88" s="561">
        <v>31</v>
      </c>
      <c r="B88" s="525" t="s">
        <v>343</v>
      </c>
      <c r="C88" s="769" t="s">
        <v>344</v>
      </c>
      <c r="D88" s="666"/>
      <c r="E88" s="474"/>
      <c r="F88" s="469"/>
      <c r="G88" s="514" t="s">
        <v>72</v>
      </c>
      <c r="H88" s="310">
        <f>IF(G88='Response Guidelines'!$D$80,'Response Guidelines'!$C$80, IF(G88='Response Guidelines'!$D$81,'Response Guidelines'!$C$81,IF(G88='Response Guidelines'!$D$82,'Response Guidelines'!$C$82,IF(G88='Response Guidelines'!$D$83,'Response Guidelines'!$C$83,IF(G88='Response Guidelines'!$D$84,'Response Guidelines'!$C$84,IF(G88='Response Guidelines'!$D$85,'Response Guidelines'!$C$85,IF(G88='Response Guidelines'!$D$86,'Response Guidelines'!$C$86,"No Rating")))))))</f>
        <v>4</v>
      </c>
      <c r="I88" s="590">
        <f>(H88/$H$97)/_xlfn.XLOOKUP('Scoring Summary'!$D$16,'Response Guidelines'!$D$91:$D$190,'Response Guidelines'!$C$91:$C$190,"",0,1)</f>
        <v>3.9735099337748075E-3</v>
      </c>
      <c r="J88" s="223" t="s">
        <v>345</v>
      </c>
      <c r="K88" s="224">
        <f>I88</f>
        <v>3.9735099337748075E-3</v>
      </c>
      <c r="L88" s="225"/>
      <c r="M88" s="639"/>
    </row>
    <row r="89" spans="1:13" s="29" customFormat="1" ht="80.25" customHeight="1" x14ac:dyDescent="0.35">
      <c r="A89" s="641"/>
      <c r="B89" s="653"/>
      <c r="C89" s="656"/>
      <c r="D89" s="666"/>
      <c r="E89" s="474"/>
      <c r="F89" s="469"/>
      <c r="G89" s="514"/>
      <c r="H89" s="310"/>
      <c r="I89" s="590"/>
      <c r="J89" s="132" t="s">
        <v>346</v>
      </c>
      <c r="K89" s="138">
        <f>0%</f>
        <v>0</v>
      </c>
      <c r="L89" s="133"/>
      <c r="M89" s="639"/>
    </row>
    <row r="90" spans="1:13" s="29" customFormat="1" ht="80.25" customHeight="1" x14ac:dyDescent="0.35">
      <c r="A90" s="642"/>
      <c r="B90" s="654"/>
      <c r="C90" s="770"/>
      <c r="D90" s="666"/>
      <c r="E90" s="474"/>
      <c r="F90" s="469"/>
      <c r="G90" s="514"/>
      <c r="H90" s="310"/>
      <c r="I90" s="590"/>
      <c r="J90" s="227" t="s">
        <v>347</v>
      </c>
      <c r="K90" s="170">
        <f>0%</f>
        <v>0</v>
      </c>
      <c r="L90" s="162"/>
      <c r="M90" s="639"/>
    </row>
    <row r="91" spans="1:13" s="29" customFormat="1" ht="80.25" customHeight="1" x14ac:dyDescent="0.35">
      <c r="A91" s="561">
        <v>32</v>
      </c>
      <c r="B91" s="652" t="s">
        <v>348</v>
      </c>
      <c r="C91" s="655" t="s">
        <v>349</v>
      </c>
      <c r="D91" s="667"/>
      <c r="E91" s="473"/>
      <c r="F91" s="476"/>
      <c r="G91" s="513" t="s">
        <v>72</v>
      </c>
      <c r="H91" s="423">
        <f>IF(G91='Response Guidelines'!$D$80,'Response Guidelines'!$C$80, IF(G91='Response Guidelines'!$D$81,'Response Guidelines'!$C$81,IF(G91='Response Guidelines'!$D$82,'Response Guidelines'!$C$82,IF(G91='Response Guidelines'!$D$83,'Response Guidelines'!$C$83,IF(G91='Response Guidelines'!$D$84,'Response Guidelines'!$C$84,IF(G91='Response Guidelines'!$D$85,'Response Guidelines'!$C$85,IF(G91='Response Guidelines'!$D$86,'Response Guidelines'!$C$86,"No Rating")))))))</f>
        <v>4</v>
      </c>
      <c r="I91" s="772">
        <f>(H91/$H$97)/_xlfn.XLOOKUP('Scoring Summary'!$D$16,'Response Guidelines'!$D$91:$D$190,'Response Guidelines'!$C$91:$C$190,"",0,1)</f>
        <v>3.9735099337748075E-3</v>
      </c>
      <c r="J91" s="218" t="s">
        <v>350</v>
      </c>
      <c r="K91" s="219">
        <f>I91</f>
        <v>3.9735099337748075E-3</v>
      </c>
      <c r="L91" s="220"/>
      <c r="M91" s="638"/>
    </row>
    <row r="92" spans="1:13" s="29" customFormat="1" ht="80.25" customHeight="1" x14ac:dyDescent="0.35">
      <c r="A92" s="641"/>
      <c r="B92" s="653"/>
      <c r="C92" s="656"/>
      <c r="D92" s="666"/>
      <c r="E92" s="474"/>
      <c r="F92" s="469"/>
      <c r="G92" s="514"/>
      <c r="H92" s="310"/>
      <c r="I92" s="590"/>
      <c r="J92" s="132" t="s">
        <v>351</v>
      </c>
      <c r="K92" s="138">
        <f>0%</f>
        <v>0</v>
      </c>
      <c r="L92" s="133"/>
      <c r="M92" s="639"/>
    </row>
    <row r="93" spans="1:13" s="29" customFormat="1" ht="80.25" customHeight="1" x14ac:dyDescent="0.35">
      <c r="A93" s="642"/>
      <c r="B93" s="654"/>
      <c r="C93" s="657"/>
      <c r="D93" s="668"/>
      <c r="E93" s="475"/>
      <c r="F93" s="477"/>
      <c r="G93" s="515"/>
      <c r="H93" s="424"/>
      <c r="I93" s="684"/>
      <c r="J93" s="226" t="s">
        <v>352</v>
      </c>
      <c r="K93" s="221">
        <f>0%</f>
        <v>0</v>
      </c>
      <c r="L93" s="222"/>
      <c r="M93" s="640"/>
    </row>
    <row r="94" spans="1:13" s="29" customFormat="1" ht="80.25" customHeight="1" x14ac:dyDescent="0.35">
      <c r="A94" s="561">
        <v>33</v>
      </c>
      <c r="B94" s="669" t="s">
        <v>353</v>
      </c>
      <c r="C94" s="760" t="s">
        <v>354</v>
      </c>
      <c r="D94" s="666"/>
      <c r="E94" s="474"/>
      <c r="F94" s="469"/>
      <c r="G94" s="514" t="s">
        <v>72</v>
      </c>
      <c r="H94" s="310">
        <f>IF(G94='Response Guidelines'!$D$80,'Response Guidelines'!$C$80, IF(G94='Response Guidelines'!$D$81,'Response Guidelines'!$C$81,IF(G94='Response Guidelines'!$D$82,'Response Guidelines'!$C$82,IF(G94='Response Guidelines'!$D$83,'Response Guidelines'!$C$83,IF(G94='Response Guidelines'!$D$84,'Response Guidelines'!$C$84,IF(G94='Response Guidelines'!$D$85,'Response Guidelines'!$C$85,IF(G94='Response Guidelines'!$D$86,'Response Guidelines'!$C$86,"No Rating")))))))</f>
        <v>4</v>
      </c>
      <c r="I94" s="590">
        <f>(H94/$H$97)/_xlfn.XLOOKUP('Scoring Summary'!$D$16,'Response Guidelines'!$D$91:$D$190,'Response Guidelines'!$C$91:$C$190,"",0,1)</f>
        <v>3.9735099337748075E-3</v>
      </c>
      <c r="J94" s="228" t="s">
        <v>355</v>
      </c>
      <c r="K94" s="224">
        <f>I94</f>
        <v>3.9735099337748075E-3</v>
      </c>
      <c r="L94" s="225"/>
      <c r="M94" s="639"/>
    </row>
    <row r="95" spans="1:13" s="29" customFormat="1" ht="80.25" customHeight="1" x14ac:dyDescent="0.35">
      <c r="A95" s="641"/>
      <c r="B95" s="670"/>
      <c r="C95" s="761"/>
      <c r="D95" s="666"/>
      <c r="E95" s="474"/>
      <c r="F95" s="469"/>
      <c r="G95" s="514"/>
      <c r="H95" s="310"/>
      <c r="I95" s="590"/>
      <c r="J95" s="131" t="s">
        <v>356</v>
      </c>
      <c r="K95" s="138">
        <f>0%</f>
        <v>0</v>
      </c>
      <c r="L95" s="133"/>
      <c r="M95" s="639"/>
    </row>
    <row r="96" spans="1:13" s="29" customFormat="1" ht="80.25" customHeight="1" x14ac:dyDescent="0.35">
      <c r="A96" s="642"/>
      <c r="B96" s="671"/>
      <c r="C96" s="762"/>
      <c r="D96" s="668"/>
      <c r="E96" s="475"/>
      <c r="F96" s="477"/>
      <c r="G96" s="515"/>
      <c r="H96" s="424"/>
      <c r="I96" s="684"/>
      <c r="J96" s="226" t="s">
        <v>352</v>
      </c>
      <c r="K96" s="221">
        <f>0%</f>
        <v>0</v>
      </c>
      <c r="L96" s="222"/>
      <c r="M96" s="640"/>
    </row>
    <row r="97" spans="1:13" s="29" customFormat="1" ht="15" customHeight="1" x14ac:dyDescent="0.35">
      <c r="A97" s="34"/>
      <c r="B97" s="34" t="s">
        <v>43</v>
      </c>
      <c r="C97" s="34"/>
      <c r="D97" s="34"/>
      <c r="E97" s="34"/>
      <c r="F97" s="34"/>
      <c r="G97" s="34"/>
      <c r="H97" s="33">
        <f>SUM(H16:H96)</f>
        <v>151</v>
      </c>
      <c r="I97" s="32">
        <f>SUM(I16:I96)</f>
        <v>0.14999999999999908</v>
      </c>
      <c r="J97" s="302" t="s">
        <v>44</v>
      </c>
      <c r="K97" s="303"/>
      <c r="L97" s="71">
        <f>SUM(L16:L84)</f>
        <v>0</v>
      </c>
      <c r="M97" s="30"/>
    </row>
    <row r="98" spans="1:13" ht="14.5" customHeight="1" x14ac:dyDescent="0.25"/>
    <row r="99" spans="1:13" ht="14.5" customHeight="1" x14ac:dyDescent="0.25"/>
    <row r="100" spans="1:13" ht="14.5" customHeight="1" x14ac:dyDescent="0.25"/>
    <row r="101" spans="1:13" ht="14.5" customHeight="1" x14ac:dyDescent="0.25"/>
    <row r="102" spans="1:13" ht="14.5" customHeight="1" x14ac:dyDescent="0.25"/>
    <row r="103" spans="1:13" ht="14.5" customHeight="1" x14ac:dyDescent="0.25"/>
    <row r="104" spans="1:13" ht="14.5" customHeight="1" x14ac:dyDescent="0.25"/>
    <row r="105" spans="1:13" ht="14.5" customHeight="1" x14ac:dyDescent="0.25"/>
    <row r="106" spans="1:13" ht="10.4" customHeight="1" x14ac:dyDescent="0.25"/>
    <row r="107" spans="1:13" ht="10.4" customHeight="1" x14ac:dyDescent="0.25"/>
    <row r="108" spans="1:13" ht="10.4" customHeight="1" x14ac:dyDescent="0.25"/>
    <row r="109" spans="1:13" ht="10.4" customHeight="1" x14ac:dyDescent="0.25"/>
    <row r="110" spans="1:13" ht="10.4" customHeight="1" x14ac:dyDescent="0.25"/>
    <row r="111" spans="1:13" ht="10.4" customHeight="1" x14ac:dyDescent="0.25"/>
    <row r="112" spans="1:13" ht="10.4" customHeight="1" x14ac:dyDescent="0.25"/>
    <row r="113" ht="10.4" customHeight="1" x14ac:dyDescent="0.25"/>
    <row r="114" ht="10.4" customHeight="1" x14ac:dyDescent="0.25"/>
    <row r="115" ht="10.4" customHeight="1" x14ac:dyDescent="0.25"/>
    <row r="116" ht="10.4" customHeight="1" x14ac:dyDescent="0.25"/>
    <row r="117" ht="10.4" customHeight="1" x14ac:dyDescent="0.25"/>
    <row r="118" ht="10.4" customHeight="1" x14ac:dyDescent="0.25"/>
    <row r="119" ht="10.4" customHeight="1" x14ac:dyDescent="0.25"/>
    <row r="120" ht="10.4" customHeight="1" x14ac:dyDescent="0.25"/>
    <row r="121" ht="10.4" customHeight="1" x14ac:dyDescent="0.25"/>
    <row r="122" ht="10.4" customHeight="1" x14ac:dyDescent="0.25"/>
    <row r="123" ht="10.4" customHeight="1" x14ac:dyDescent="0.25"/>
    <row r="124" ht="10.4" customHeight="1" x14ac:dyDescent="0.25"/>
    <row r="125" ht="10.4" customHeight="1" x14ac:dyDescent="0.25"/>
    <row r="126" ht="10.4" customHeight="1" x14ac:dyDescent="0.25"/>
  </sheetData>
  <mergeCells count="363">
    <mergeCell ref="M77:M78"/>
    <mergeCell ref="L77:L78"/>
    <mergeCell ref="I77:I78"/>
    <mergeCell ref="A70:A73"/>
    <mergeCell ref="G70:G73"/>
    <mergeCell ref="G77:G78"/>
    <mergeCell ref="G85:G87"/>
    <mergeCell ref="D85:D87"/>
    <mergeCell ref="E85:E87"/>
    <mergeCell ref="F85:F87"/>
    <mergeCell ref="H85:H87"/>
    <mergeCell ref="I85:I87"/>
    <mergeCell ref="M70:M73"/>
    <mergeCell ref="L70:L73"/>
    <mergeCell ref="I70:I73"/>
    <mergeCell ref="H70:H73"/>
    <mergeCell ref="F70:F73"/>
    <mergeCell ref="E70:E73"/>
    <mergeCell ref="D70:D73"/>
    <mergeCell ref="L74:L76"/>
    <mergeCell ref="M74:M76"/>
    <mergeCell ref="A77:A78"/>
    <mergeCell ref="F74:F76"/>
    <mergeCell ref="G74:G76"/>
    <mergeCell ref="H74:H76"/>
    <mergeCell ref="I74:I76"/>
    <mergeCell ref="C94:C96"/>
    <mergeCell ref="B85:B87"/>
    <mergeCell ref="C85:C87"/>
    <mergeCell ref="C88:C90"/>
    <mergeCell ref="B88:B90"/>
    <mergeCell ref="H77:H78"/>
    <mergeCell ref="F77:F78"/>
    <mergeCell ref="H91:H93"/>
    <mergeCell ref="I91:I93"/>
    <mergeCell ref="D94:D96"/>
    <mergeCell ref="E94:E96"/>
    <mergeCell ref="F94:F96"/>
    <mergeCell ref="G94:G96"/>
    <mergeCell ref="H94:H96"/>
    <mergeCell ref="I94:I96"/>
    <mergeCell ref="I88:I90"/>
    <mergeCell ref="E91:E93"/>
    <mergeCell ref="F91:F93"/>
    <mergeCell ref="C70:C73"/>
    <mergeCell ref="B70:B73"/>
    <mergeCell ref="A60:A61"/>
    <mergeCell ref="B60:B61"/>
    <mergeCell ref="C60:C61"/>
    <mergeCell ref="D60:D61"/>
    <mergeCell ref="E60:E61"/>
    <mergeCell ref="B74:B76"/>
    <mergeCell ref="C74:C76"/>
    <mergeCell ref="D74:D76"/>
    <mergeCell ref="E74:E76"/>
    <mergeCell ref="F58:F59"/>
    <mergeCell ref="G58:G59"/>
    <mergeCell ref="H58:H59"/>
    <mergeCell ref="I58:I59"/>
    <mergeCell ref="L58:L59"/>
    <mergeCell ref="F60:F61"/>
    <mergeCell ref="G60:G61"/>
    <mergeCell ref="H60:H61"/>
    <mergeCell ref="I60:I61"/>
    <mergeCell ref="L60:L61"/>
    <mergeCell ref="C52:C53"/>
    <mergeCell ref="D52:D53"/>
    <mergeCell ref="A56:A57"/>
    <mergeCell ref="B56:B57"/>
    <mergeCell ref="C56:C57"/>
    <mergeCell ref="D56:D57"/>
    <mergeCell ref="L52:L53"/>
    <mergeCell ref="M52:M53"/>
    <mergeCell ref="L56:L57"/>
    <mergeCell ref="M56:M57"/>
    <mergeCell ref="F56:F57"/>
    <mergeCell ref="G56:G57"/>
    <mergeCell ref="H56:H57"/>
    <mergeCell ref="I56:I57"/>
    <mergeCell ref="E2:G3"/>
    <mergeCell ref="A14:A15"/>
    <mergeCell ref="B14:C14"/>
    <mergeCell ref="D14:F14"/>
    <mergeCell ref="A18:A19"/>
    <mergeCell ref="B18:B19"/>
    <mergeCell ref="C18:C19"/>
    <mergeCell ref="D18:D19"/>
    <mergeCell ref="E18:E19"/>
    <mergeCell ref="F18:F19"/>
    <mergeCell ref="G18:G19"/>
    <mergeCell ref="A16:A17"/>
    <mergeCell ref="B16:B17"/>
    <mergeCell ref="C16:C17"/>
    <mergeCell ref="D16:D17"/>
    <mergeCell ref="E16:E17"/>
    <mergeCell ref="G16:G17"/>
    <mergeCell ref="H16:H17"/>
    <mergeCell ref="I16:I17"/>
    <mergeCell ref="L16:L17"/>
    <mergeCell ref="M16:M17"/>
    <mergeCell ref="F16:F17"/>
    <mergeCell ref="H18:H19"/>
    <mergeCell ref="I18:I19"/>
    <mergeCell ref="L18:L19"/>
    <mergeCell ref="M18:M19"/>
    <mergeCell ref="A22:A23"/>
    <mergeCell ref="B22:B23"/>
    <mergeCell ref="C22:C23"/>
    <mergeCell ref="D22:D23"/>
    <mergeCell ref="E22:E23"/>
    <mergeCell ref="A20:A21"/>
    <mergeCell ref="B20:B21"/>
    <mergeCell ref="C20:C21"/>
    <mergeCell ref="D20:D21"/>
    <mergeCell ref="E20:E21"/>
    <mergeCell ref="F22:F23"/>
    <mergeCell ref="G22:G23"/>
    <mergeCell ref="H22:H23"/>
    <mergeCell ref="I22:I23"/>
    <mergeCell ref="L22:L23"/>
    <mergeCell ref="M22:M23"/>
    <mergeCell ref="G20:G21"/>
    <mergeCell ref="H20:H21"/>
    <mergeCell ref="I20:I21"/>
    <mergeCell ref="L20:L21"/>
    <mergeCell ref="M20:M21"/>
    <mergeCell ref="F20:F21"/>
    <mergeCell ref="A26:A27"/>
    <mergeCell ref="B26:B27"/>
    <mergeCell ref="C26:C27"/>
    <mergeCell ref="D26:D27"/>
    <mergeCell ref="E26:E27"/>
    <mergeCell ref="A24:A25"/>
    <mergeCell ref="B24:B25"/>
    <mergeCell ref="C24:C25"/>
    <mergeCell ref="D24:D25"/>
    <mergeCell ref="E24:E25"/>
    <mergeCell ref="F26:F27"/>
    <mergeCell ref="G26:G27"/>
    <mergeCell ref="H26:H27"/>
    <mergeCell ref="I26:I27"/>
    <mergeCell ref="L26:L27"/>
    <mergeCell ref="M26:M27"/>
    <mergeCell ref="G24:G25"/>
    <mergeCell ref="H24:H25"/>
    <mergeCell ref="I24:I25"/>
    <mergeCell ref="L24:L25"/>
    <mergeCell ref="M24:M25"/>
    <mergeCell ref="F24:F25"/>
    <mergeCell ref="A30:A31"/>
    <mergeCell ref="B30:B31"/>
    <mergeCell ref="C30:C31"/>
    <mergeCell ref="D30:D31"/>
    <mergeCell ref="E30:E31"/>
    <mergeCell ref="A28:A29"/>
    <mergeCell ref="B28:B29"/>
    <mergeCell ref="C28:C29"/>
    <mergeCell ref="D28:D29"/>
    <mergeCell ref="E28:E29"/>
    <mergeCell ref="F30:F31"/>
    <mergeCell ref="G30:G31"/>
    <mergeCell ref="H30:H31"/>
    <mergeCell ref="I30:I31"/>
    <mergeCell ref="L30:L31"/>
    <mergeCell ref="M30:M31"/>
    <mergeCell ref="G28:G29"/>
    <mergeCell ref="H28:H29"/>
    <mergeCell ref="I28:I29"/>
    <mergeCell ref="L28:L29"/>
    <mergeCell ref="M28:M29"/>
    <mergeCell ref="F28:F29"/>
    <mergeCell ref="A34:A35"/>
    <mergeCell ref="B34:B35"/>
    <mergeCell ref="C34:C35"/>
    <mergeCell ref="D34:D35"/>
    <mergeCell ref="E34:E35"/>
    <mergeCell ref="A32:A33"/>
    <mergeCell ref="B32:B33"/>
    <mergeCell ref="C32:C33"/>
    <mergeCell ref="D32:D33"/>
    <mergeCell ref="E32:E33"/>
    <mergeCell ref="F34:F35"/>
    <mergeCell ref="G34:G35"/>
    <mergeCell ref="H34:H35"/>
    <mergeCell ref="I34:I35"/>
    <mergeCell ref="L34:L35"/>
    <mergeCell ref="M34:M35"/>
    <mergeCell ref="G32:G33"/>
    <mergeCell ref="H32:H33"/>
    <mergeCell ref="I32:I33"/>
    <mergeCell ref="L32:L33"/>
    <mergeCell ref="M32:M33"/>
    <mergeCell ref="F32:F33"/>
    <mergeCell ref="A38:A39"/>
    <mergeCell ref="B38:B39"/>
    <mergeCell ref="C38:C39"/>
    <mergeCell ref="D38:D39"/>
    <mergeCell ref="E38:E39"/>
    <mergeCell ref="A36:A37"/>
    <mergeCell ref="B36:B37"/>
    <mergeCell ref="C36:C37"/>
    <mergeCell ref="D36:D37"/>
    <mergeCell ref="E36:E37"/>
    <mergeCell ref="F38:F39"/>
    <mergeCell ref="G38:G39"/>
    <mergeCell ref="H38:H39"/>
    <mergeCell ref="I38:I39"/>
    <mergeCell ref="L38:L39"/>
    <mergeCell ref="M38:M39"/>
    <mergeCell ref="G36:G37"/>
    <mergeCell ref="H36:H37"/>
    <mergeCell ref="I36:I37"/>
    <mergeCell ref="L36:L37"/>
    <mergeCell ref="M36:M37"/>
    <mergeCell ref="F36:F37"/>
    <mergeCell ref="A42:A43"/>
    <mergeCell ref="B42:B43"/>
    <mergeCell ref="C42:C43"/>
    <mergeCell ref="D42:D43"/>
    <mergeCell ref="E42:E43"/>
    <mergeCell ref="A40:A41"/>
    <mergeCell ref="B40:B41"/>
    <mergeCell ref="C40:C41"/>
    <mergeCell ref="D40:D41"/>
    <mergeCell ref="E40:E41"/>
    <mergeCell ref="F42:F43"/>
    <mergeCell ref="G42:G43"/>
    <mergeCell ref="H42:H43"/>
    <mergeCell ref="I42:I43"/>
    <mergeCell ref="L42:L43"/>
    <mergeCell ref="M42:M43"/>
    <mergeCell ref="G40:G41"/>
    <mergeCell ref="H40:H41"/>
    <mergeCell ref="I40:I41"/>
    <mergeCell ref="L40:L41"/>
    <mergeCell ref="M40:M41"/>
    <mergeCell ref="F40:F41"/>
    <mergeCell ref="A46:A47"/>
    <mergeCell ref="B46:B47"/>
    <mergeCell ref="C46:C47"/>
    <mergeCell ref="D46:D47"/>
    <mergeCell ref="E46:E47"/>
    <mergeCell ref="A44:A45"/>
    <mergeCell ref="B44:B45"/>
    <mergeCell ref="C44:C45"/>
    <mergeCell ref="D44:D45"/>
    <mergeCell ref="E44:E45"/>
    <mergeCell ref="F46:F47"/>
    <mergeCell ref="G46:G47"/>
    <mergeCell ref="H46:H47"/>
    <mergeCell ref="I46:I47"/>
    <mergeCell ref="L46:L47"/>
    <mergeCell ref="M46:M47"/>
    <mergeCell ref="G44:G45"/>
    <mergeCell ref="H44:H45"/>
    <mergeCell ref="I44:I45"/>
    <mergeCell ref="L44:L45"/>
    <mergeCell ref="M44:M45"/>
    <mergeCell ref="F44:F45"/>
    <mergeCell ref="A48:A49"/>
    <mergeCell ref="B48:B49"/>
    <mergeCell ref="C48:C49"/>
    <mergeCell ref="D48:D49"/>
    <mergeCell ref="E48:E49"/>
    <mergeCell ref="E50:E51"/>
    <mergeCell ref="E54:E55"/>
    <mergeCell ref="E52:E53"/>
    <mergeCell ref="D58:D59"/>
    <mergeCell ref="E58:E59"/>
    <mergeCell ref="A58:A59"/>
    <mergeCell ref="B58:B59"/>
    <mergeCell ref="C58:C59"/>
    <mergeCell ref="E56:E57"/>
    <mergeCell ref="A50:A51"/>
    <mergeCell ref="B50:B51"/>
    <mergeCell ref="C50:C51"/>
    <mergeCell ref="D50:D51"/>
    <mergeCell ref="A54:A55"/>
    <mergeCell ref="B54:B55"/>
    <mergeCell ref="C54:C55"/>
    <mergeCell ref="D54:D55"/>
    <mergeCell ref="A52:A53"/>
    <mergeCell ref="B52:B53"/>
    <mergeCell ref="M60:M61"/>
    <mergeCell ref="G48:G49"/>
    <mergeCell ref="H48:H49"/>
    <mergeCell ref="I48:I49"/>
    <mergeCell ref="L48:L49"/>
    <mergeCell ref="M48:M49"/>
    <mergeCell ref="F48:F49"/>
    <mergeCell ref="F50:F51"/>
    <mergeCell ref="G50:G51"/>
    <mergeCell ref="H50:H51"/>
    <mergeCell ref="I50:I51"/>
    <mergeCell ref="L50:L51"/>
    <mergeCell ref="M50:M51"/>
    <mergeCell ref="F54:F55"/>
    <mergeCell ref="G54:G55"/>
    <mergeCell ref="H54:H55"/>
    <mergeCell ref="I54:I55"/>
    <mergeCell ref="L54:L55"/>
    <mergeCell ref="M54:M55"/>
    <mergeCell ref="M58:M59"/>
    <mergeCell ref="F52:F53"/>
    <mergeCell ref="G52:G53"/>
    <mergeCell ref="H52:H53"/>
    <mergeCell ref="I52:I53"/>
    <mergeCell ref="M62:M67"/>
    <mergeCell ref="A68:A69"/>
    <mergeCell ref="B68:B69"/>
    <mergeCell ref="C68:C69"/>
    <mergeCell ref="D68:D69"/>
    <mergeCell ref="E68:E69"/>
    <mergeCell ref="G68:G69"/>
    <mergeCell ref="H68:H69"/>
    <mergeCell ref="I68:I69"/>
    <mergeCell ref="L68:L69"/>
    <mergeCell ref="M68:M69"/>
    <mergeCell ref="F68:F69"/>
    <mergeCell ref="A62:A67"/>
    <mergeCell ref="B62:B67"/>
    <mergeCell ref="C62:C67"/>
    <mergeCell ref="D62:D67"/>
    <mergeCell ref="E62:E67"/>
    <mergeCell ref="F62:F67"/>
    <mergeCell ref="G62:G67"/>
    <mergeCell ref="H62:H67"/>
    <mergeCell ref="I62:I67"/>
    <mergeCell ref="L62:L67"/>
    <mergeCell ref="A91:A93"/>
    <mergeCell ref="B77:B78"/>
    <mergeCell ref="C77:C78"/>
    <mergeCell ref="D77:D78"/>
    <mergeCell ref="E77:E78"/>
    <mergeCell ref="A74:A76"/>
    <mergeCell ref="B91:B93"/>
    <mergeCell ref="C91:C93"/>
    <mergeCell ref="A94:A96"/>
    <mergeCell ref="A79:A84"/>
    <mergeCell ref="B79:B84"/>
    <mergeCell ref="C79:C84"/>
    <mergeCell ref="E79:E84"/>
    <mergeCell ref="D88:D90"/>
    <mergeCell ref="E88:E90"/>
    <mergeCell ref="D91:D93"/>
    <mergeCell ref="B94:B96"/>
    <mergeCell ref="A85:A87"/>
    <mergeCell ref="A88:A90"/>
    <mergeCell ref="J97:K97"/>
    <mergeCell ref="F79:F84"/>
    <mergeCell ref="G79:G84"/>
    <mergeCell ref="H79:H84"/>
    <mergeCell ref="I79:I84"/>
    <mergeCell ref="M79:M84"/>
    <mergeCell ref="L85:L86"/>
    <mergeCell ref="M85:M87"/>
    <mergeCell ref="M88:M90"/>
    <mergeCell ref="M91:M93"/>
    <mergeCell ref="M94:M96"/>
    <mergeCell ref="H88:H90"/>
    <mergeCell ref="G88:G90"/>
    <mergeCell ref="F88:F90"/>
    <mergeCell ref="G91:G93"/>
  </mergeCells>
  <dataValidations count="29">
    <dataValidation type="list" allowBlank="1" showInputMessage="1" showErrorMessage="1" sqref="D62:D67" xr:uid="{00000000-0002-0000-0500-000010000000}">
      <formula1>$J$62:$J$67</formula1>
    </dataValidation>
    <dataValidation type="list" allowBlank="1" showInputMessage="1" showErrorMessage="1" sqref="D60:D61" xr:uid="{00000000-0002-0000-0500-000019000000}">
      <formula1>$J$60:$J$61</formula1>
    </dataValidation>
    <dataValidation type="list" allowBlank="1" showInputMessage="1" showErrorMessage="1" sqref="D16:D19" xr:uid="{00000000-0002-0000-0500-00001B000000}">
      <formula1>$J$16:$J$17</formula1>
    </dataValidation>
    <dataValidation type="list" allowBlank="1" showInputMessage="1" showErrorMessage="1" sqref="D18:D19" xr:uid="{00000000-0002-0000-0500-000000000000}">
      <formula1>$J$18:$J$19</formula1>
    </dataValidation>
    <dataValidation type="list" allowBlank="1" showInputMessage="1" showErrorMessage="1" sqref="D20:D21" xr:uid="{00000000-0002-0000-0500-000001000000}">
      <formula1>$J$20:$J$21</formula1>
    </dataValidation>
    <dataValidation type="list" allowBlank="1" showInputMessage="1" showErrorMessage="1" sqref="D22:D23" xr:uid="{00000000-0002-0000-0500-000002000000}">
      <formula1>$J$22:$J$23</formula1>
    </dataValidation>
    <dataValidation type="list" allowBlank="1" showInputMessage="1" showErrorMessage="1" sqref="D24:D25" xr:uid="{00000000-0002-0000-0500-000003000000}">
      <formula1>$J$24:$J$25</formula1>
    </dataValidation>
    <dataValidation type="list" allowBlank="1" showInputMessage="1" showErrorMessage="1" sqref="D26:D27" xr:uid="{00000000-0002-0000-0500-000004000000}">
      <formula1>$J$26:$J$27</formula1>
    </dataValidation>
    <dataValidation type="list" allowBlank="1" showInputMessage="1" showErrorMessage="1" sqref="D28:D29" xr:uid="{00000000-0002-0000-0500-000005000000}">
      <formula1>$J$28:$J$29</formula1>
    </dataValidation>
    <dataValidation type="list" allowBlank="1" showInputMessage="1" showErrorMessage="1" sqref="D30:D31" xr:uid="{00000000-0002-0000-0500-000006000000}">
      <formula1>$J$30:$J$31</formula1>
    </dataValidation>
    <dataValidation type="list" allowBlank="1" showInputMessage="1" showErrorMessage="1" sqref="D32:D33" xr:uid="{00000000-0002-0000-0500-000007000000}">
      <formula1>$J$32:$J$33</formula1>
    </dataValidation>
    <dataValidation type="list" allowBlank="1" showInputMessage="1" showErrorMessage="1" sqref="D34:D35" xr:uid="{00000000-0002-0000-0500-000008000000}">
      <formula1>$J$34:$J$35</formula1>
    </dataValidation>
    <dataValidation type="list" allowBlank="1" showInputMessage="1" showErrorMessage="1" sqref="D36:D37" xr:uid="{00000000-0002-0000-0500-000009000000}">
      <formula1>$J$36:$J$37</formula1>
    </dataValidation>
    <dataValidation type="list" allowBlank="1" showInputMessage="1" showErrorMessage="1" sqref="D40:D41" xr:uid="{00000000-0002-0000-0500-00000B000000}">
      <formula1>$J$40:$J$41</formula1>
    </dataValidation>
    <dataValidation type="list" allowBlank="1" showInputMessage="1" showErrorMessage="1" sqref="D42:D43" xr:uid="{00000000-0002-0000-0500-00000C000000}">
      <formula1>$J$42:$J$43</formula1>
    </dataValidation>
    <dataValidation type="list" allowBlank="1" showInputMessage="1" showErrorMessage="1" sqref="D44:D45" xr:uid="{00000000-0002-0000-0500-00000D000000}">
      <formula1>$J$44:$J$45</formula1>
    </dataValidation>
    <dataValidation type="list" allowBlank="1" showInputMessage="1" showErrorMessage="1" sqref="D46:D47" xr:uid="{00000000-0002-0000-0500-00000E000000}">
      <formula1>$J$46:$J$47</formula1>
    </dataValidation>
    <dataValidation type="list" allowBlank="1" showInputMessage="1" showErrorMessage="1" sqref="D48:D59" xr:uid="{00000000-0002-0000-0500-00001A000000}">
      <formula1>$J$48:$J$49</formula1>
    </dataValidation>
    <dataValidation type="list" allowBlank="1" showInputMessage="1" showErrorMessage="1" sqref="D68:D69" xr:uid="{00000000-0002-0000-0500-000011000000}">
      <formula1>$J$68:$J$69</formula1>
    </dataValidation>
    <dataValidation type="list" allowBlank="1" showInputMessage="1" showErrorMessage="1" sqref="D79:D84" xr:uid="{00000000-0002-0000-0500-000016000000}">
      <formula1>$J$79:$J$84</formula1>
    </dataValidation>
    <dataValidation type="list" allowBlank="1" showInputMessage="1" showErrorMessage="1" sqref="D38:D39" xr:uid="{00000000-0002-0000-0500-00000A000000}">
      <formula1>$J$38:$J$39</formula1>
    </dataValidation>
    <dataValidation type="list" allowBlank="1" showInputMessage="1" showErrorMessage="1" sqref="D70:D73" xr:uid="{00000000-0002-0000-0500-000012000000}">
      <formula1>$J$70:$J$73</formula1>
    </dataValidation>
    <dataValidation type="list" allowBlank="1" showInputMessage="1" showErrorMessage="1" sqref="D74:D76" xr:uid="{00000000-0002-0000-0500-000014000000}">
      <formula1>$J$74:$J$76</formula1>
    </dataValidation>
    <dataValidation type="list" allowBlank="1" showInputMessage="1" showErrorMessage="1" sqref="D77:D78" xr:uid="{00000000-0002-0000-0500-000015000000}">
      <formula1>$J$77:$J$78</formula1>
    </dataValidation>
    <dataValidation type="list" allowBlank="1" showInputMessage="1" showErrorMessage="1" sqref="D85:D87" xr:uid="{F2FF2562-1D5A-4B0B-A33C-665BD75FA9B1}">
      <formula1>$J$85:$J$87</formula1>
    </dataValidation>
    <dataValidation type="list" allowBlank="1" showInputMessage="1" showErrorMessage="1" sqref="D88:D90" xr:uid="{E582C120-6857-4E23-ADA7-A4A0FA1C6053}">
      <formula1>$J$88:$J$90</formula1>
    </dataValidation>
    <dataValidation type="list" allowBlank="1" showInputMessage="1" showErrorMessage="1" sqref="D91:D93" xr:uid="{63FF3C36-E5A3-4851-B15F-C3C01796618B}">
      <formula1>$J$91:$J$93</formula1>
    </dataValidation>
    <dataValidation type="list" allowBlank="1" showInputMessage="1" showErrorMessage="1" sqref="D94:D96" xr:uid="{E7731D68-6868-461C-A877-7D64119200C0}">
      <formula1>$J$94:$J$96</formula1>
    </dataValidation>
    <dataValidation type="list" allowBlank="1" showInputMessage="1" showErrorMessage="1" sqref="L85:L96" xr:uid="{3935C80D-BFC5-430C-9502-794AD69A55BB}">
      <formula1>$K$24:$K$25</formula1>
    </dataValidation>
  </dataValidations>
  <pageMargins left="0.25" right="0.25" top="0.75" bottom="0.75" header="0.3" footer="0.3"/>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1D000000}">
          <x14:formula1>
            <xm:f>'Response Guidelines'!$D$80:$D$86</xm:f>
          </x14:formula1>
          <xm:sqref>G16:G85 G88 G91 G94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N181"/>
  <sheetViews>
    <sheetView zoomScaleNormal="100" workbookViewId="0">
      <selection activeCell="G16" sqref="G16:G20"/>
    </sheetView>
  </sheetViews>
  <sheetFormatPr defaultColWidth="9.1796875" defaultRowHeight="10.5" x14ac:dyDescent="0.25"/>
  <cols>
    <col min="1" max="1" width="3.1796875" style="19" bestFit="1" customWidth="1"/>
    <col min="2" max="2" width="37.1796875" style="18" customWidth="1"/>
    <col min="3" max="3" width="37.54296875" style="18" customWidth="1"/>
    <col min="4" max="5" width="23.1796875" style="18" customWidth="1"/>
    <col min="6" max="6" width="25.1796875" style="18" customWidth="1"/>
    <col min="7" max="7" width="11.453125" style="18" customWidth="1"/>
    <col min="8" max="8" width="7.54296875" style="18" customWidth="1"/>
    <col min="9" max="9" width="7.1796875" style="17" customWidth="1"/>
    <col min="10" max="10" width="23.81640625" style="16" customWidth="1"/>
    <col min="11" max="11" width="5.453125" style="15" customWidth="1"/>
    <col min="12" max="12" width="5.453125" style="13" customWidth="1"/>
    <col min="13" max="13" width="40.453125" style="14" customWidth="1"/>
    <col min="14" max="14" width="8.54296875" style="13" customWidth="1"/>
    <col min="15" max="16384" width="9.1796875" style="13"/>
  </cols>
  <sheetData>
    <row r="1" spans="1:13" x14ac:dyDescent="0.25">
      <c r="B1" s="64"/>
      <c r="C1" s="64"/>
      <c r="D1" s="64"/>
      <c r="E1" s="64"/>
      <c r="F1" s="64"/>
      <c r="G1" s="64"/>
      <c r="H1" s="64"/>
    </row>
    <row r="2" spans="1:13" ht="17.5" customHeight="1" x14ac:dyDescent="0.35">
      <c r="B2" s="11" t="s">
        <v>77</v>
      </c>
      <c r="C2" s="12" t="str">
        <f>'Scoring Summary'!C2</f>
        <v>&lt;insert before tender publication&gt;</v>
      </c>
      <c r="D2" s="26"/>
      <c r="E2" s="374" t="s">
        <v>357</v>
      </c>
      <c r="F2" s="374"/>
      <c r="G2" s="374"/>
      <c r="H2" s="26"/>
      <c r="I2" s="26"/>
      <c r="J2" s="26"/>
      <c r="K2" s="26"/>
      <c r="L2" s="26"/>
      <c r="M2" s="26"/>
    </row>
    <row r="3" spans="1:13" ht="17.5" customHeight="1" x14ac:dyDescent="0.35">
      <c r="B3" s="11" t="s">
        <v>80</v>
      </c>
      <c r="C3" s="12" t="str">
        <f>'Scoring Summary'!C3</f>
        <v>Feeder Balancing Module</v>
      </c>
      <c r="D3" s="26"/>
      <c r="E3" s="374"/>
      <c r="F3" s="374"/>
      <c r="G3" s="374"/>
      <c r="H3" s="26"/>
      <c r="I3" s="26"/>
      <c r="J3" s="26"/>
      <c r="K3" s="26"/>
      <c r="L3" s="26"/>
      <c r="M3" s="26"/>
    </row>
    <row r="4" spans="1:13" ht="14.5" customHeight="1" x14ac:dyDescent="0.35">
      <c r="B4" s="11" t="s">
        <v>94</v>
      </c>
      <c r="C4" s="10" t="str">
        <f>'Scoring Summary'!C4</f>
        <v>&lt;Evaluator to complete&gt;</v>
      </c>
      <c r="D4" s="26"/>
      <c r="E4" s="63"/>
      <c r="F4" s="63"/>
      <c r="G4" s="63"/>
      <c r="H4" s="26"/>
      <c r="I4" s="26"/>
      <c r="J4" s="26"/>
      <c r="K4" s="26"/>
      <c r="L4" s="26"/>
      <c r="M4" s="26"/>
    </row>
    <row r="5" spans="1:13" ht="14.5" customHeight="1" x14ac:dyDescent="0.35">
      <c r="B5" s="11" t="s">
        <v>83</v>
      </c>
      <c r="C5" s="10" t="str">
        <f>'Scoring Summary'!C5</f>
        <v>&lt;Evaluator to complete&gt;</v>
      </c>
      <c r="D5" s="26"/>
      <c r="E5" s="26"/>
      <c r="F5" s="26"/>
      <c r="G5" s="26"/>
      <c r="H5" s="26"/>
      <c r="I5" s="26"/>
      <c r="J5" s="26"/>
      <c r="K5" s="26"/>
      <c r="L5" s="26"/>
      <c r="M5" s="26"/>
    </row>
    <row r="6" spans="1:13" ht="14.5" customHeight="1" x14ac:dyDescent="0.35">
      <c r="B6" s="11" t="s">
        <v>84</v>
      </c>
      <c r="C6" s="10" t="str">
        <f>'Scoring Summary'!C6</f>
        <v>&lt;Evaluator to complete&gt;</v>
      </c>
      <c r="D6" s="26"/>
      <c r="E6" s="26"/>
      <c r="F6" s="26"/>
      <c r="G6" s="26"/>
      <c r="H6" s="26"/>
      <c r="I6" s="26"/>
      <c r="J6" s="26"/>
      <c r="K6" s="26"/>
      <c r="L6" s="26"/>
      <c r="M6" s="26"/>
    </row>
    <row r="7" spans="1:13" ht="27.65" customHeight="1" x14ac:dyDescent="0.35">
      <c r="B7" s="11" t="s">
        <v>85</v>
      </c>
      <c r="C7" s="10"/>
      <c r="D7" s="26"/>
      <c r="E7" s="26"/>
      <c r="F7" s="26"/>
      <c r="G7" s="26"/>
      <c r="H7" s="26"/>
      <c r="I7" s="26"/>
      <c r="J7" s="26"/>
      <c r="K7" s="26"/>
      <c r="L7" s="26"/>
      <c r="M7" s="26"/>
    </row>
    <row r="8" spans="1:13" ht="12" customHeight="1" x14ac:dyDescent="0.25"/>
    <row r="10" spans="1:13" x14ac:dyDescent="0.25">
      <c r="B10" s="25"/>
      <c r="C10" s="25"/>
      <c r="D10" s="25"/>
      <c r="E10" s="25"/>
      <c r="F10" s="25"/>
      <c r="G10" s="25"/>
      <c r="H10" s="25"/>
    </row>
    <row r="12" spans="1:13" x14ac:dyDescent="0.25">
      <c r="B12" s="25"/>
      <c r="C12" s="25"/>
      <c r="D12" s="25"/>
      <c r="E12" s="25"/>
      <c r="F12" s="25"/>
      <c r="G12" s="25"/>
      <c r="H12" s="25"/>
    </row>
    <row r="13" spans="1:13" ht="11" thickBot="1" x14ac:dyDescent="0.3">
      <c r="B13" s="25"/>
      <c r="C13" s="25"/>
      <c r="D13" s="25"/>
      <c r="E13" s="25"/>
      <c r="F13" s="25"/>
      <c r="G13" s="25"/>
      <c r="H13" s="25"/>
    </row>
    <row r="14" spans="1:13" ht="14.5" customHeight="1" x14ac:dyDescent="0.2">
      <c r="A14" s="315" t="s">
        <v>14</v>
      </c>
      <c r="B14" s="317" t="s">
        <v>15</v>
      </c>
      <c r="C14" s="318"/>
      <c r="D14" s="319" t="s">
        <v>16</v>
      </c>
      <c r="E14" s="320"/>
      <c r="F14" s="321"/>
      <c r="G14" s="62"/>
      <c r="H14" s="62"/>
      <c r="I14" s="61" t="s">
        <v>17</v>
      </c>
      <c r="J14" s="60"/>
      <c r="K14" s="60"/>
      <c r="L14" s="60"/>
      <c r="M14" s="59"/>
    </row>
    <row r="15" spans="1:13" s="29" customFormat="1" ht="58.4" customHeight="1" thickBot="1" x14ac:dyDescent="0.4">
      <c r="A15" s="316"/>
      <c r="B15" s="58" t="s">
        <v>95</v>
      </c>
      <c r="C15" s="57" t="s">
        <v>19</v>
      </c>
      <c r="D15" s="56" t="s">
        <v>20</v>
      </c>
      <c r="E15" s="55" t="s">
        <v>21</v>
      </c>
      <c r="F15" s="54" t="s">
        <v>22</v>
      </c>
      <c r="G15" s="53" t="s">
        <v>23</v>
      </c>
      <c r="H15" s="52" t="s">
        <v>24</v>
      </c>
      <c r="I15" s="51" t="s">
        <v>25</v>
      </c>
      <c r="J15" s="50" t="s">
        <v>26</v>
      </c>
      <c r="K15" s="49" t="s">
        <v>27</v>
      </c>
      <c r="L15" s="48" t="s">
        <v>28</v>
      </c>
      <c r="M15" s="47" t="s">
        <v>29</v>
      </c>
    </row>
    <row r="16" spans="1:13" s="46" customFormat="1" ht="15" customHeight="1" x14ac:dyDescent="0.35">
      <c r="A16" s="322">
        <v>1</v>
      </c>
      <c r="B16" s="796" t="s">
        <v>358</v>
      </c>
      <c r="C16" s="805" t="s">
        <v>359</v>
      </c>
      <c r="D16" s="328"/>
      <c r="E16" s="331" t="s">
        <v>32</v>
      </c>
      <c r="F16" s="376"/>
      <c r="G16" s="693" t="s">
        <v>37</v>
      </c>
      <c r="H16" s="343">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6</v>
      </c>
      <c r="I16" s="311">
        <f>(H16/$H$181)/_xlfn.XLOOKUP('Scoring Summary'!$D$15,'Response Guidelines'!$D$91:$D$190,'Response Guidelines'!$C$91:$C$190,"",0,1)</f>
        <v>1.3636363636363636E-2</v>
      </c>
      <c r="J16" s="43" t="s">
        <v>360</v>
      </c>
      <c r="K16" s="42">
        <f>I16</f>
        <v>1.3636363636363636E-2</v>
      </c>
      <c r="L16" s="313"/>
      <c r="M16" s="314"/>
    </row>
    <row r="17" spans="1:13" s="46" customFormat="1" ht="15" customHeight="1" x14ac:dyDescent="0.35">
      <c r="A17" s="322"/>
      <c r="B17" s="338"/>
      <c r="C17" s="305"/>
      <c r="D17" s="329"/>
      <c r="E17" s="332"/>
      <c r="F17" s="376"/>
      <c r="G17" s="380"/>
      <c r="H17" s="310"/>
      <c r="I17" s="312"/>
      <c r="J17" s="39"/>
      <c r="K17" s="38"/>
      <c r="L17" s="304"/>
      <c r="M17" s="305"/>
    </row>
    <row r="18" spans="1:13" s="46" customFormat="1" ht="15" customHeight="1" x14ac:dyDescent="0.35">
      <c r="A18" s="322"/>
      <c r="B18" s="338"/>
      <c r="C18" s="305"/>
      <c r="D18" s="329"/>
      <c r="E18" s="332"/>
      <c r="F18" s="376"/>
      <c r="G18" s="380"/>
      <c r="H18" s="310"/>
      <c r="I18" s="312"/>
      <c r="J18" s="39" t="s">
        <v>361</v>
      </c>
      <c r="K18" s="38">
        <f>K16/2</f>
        <v>6.8181818181818179E-3</v>
      </c>
      <c r="L18" s="304"/>
      <c r="M18" s="305"/>
    </row>
    <row r="19" spans="1:13" s="46" customFormat="1" ht="15" customHeight="1" x14ac:dyDescent="0.35">
      <c r="A19" s="322"/>
      <c r="B19" s="338"/>
      <c r="C19" s="305"/>
      <c r="D19" s="329"/>
      <c r="E19" s="332"/>
      <c r="F19" s="376"/>
      <c r="G19" s="380"/>
      <c r="H19" s="310"/>
      <c r="I19" s="312"/>
      <c r="J19" s="39"/>
      <c r="K19" s="38"/>
      <c r="L19" s="304"/>
      <c r="M19" s="305"/>
    </row>
    <row r="20" spans="1:13" s="46" customFormat="1" ht="13.4" customHeight="1" x14ac:dyDescent="0.35">
      <c r="A20" s="323"/>
      <c r="B20" s="338"/>
      <c r="C20" s="305"/>
      <c r="D20" s="330"/>
      <c r="E20" s="333"/>
      <c r="F20" s="388"/>
      <c r="G20" s="788"/>
      <c r="H20" s="310"/>
      <c r="I20" s="312"/>
      <c r="J20" s="39" t="s">
        <v>362</v>
      </c>
      <c r="K20" s="38">
        <v>0</v>
      </c>
      <c r="L20" s="304"/>
      <c r="M20" s="305"/>
    </row>
    <row r="21" spans="1:13" s="29" customFormat="1" ht="10" x14ac:dyDescent="0.35">
      <c r="A21" s="337">
        <v>2</v>
      </c>
      <c r="B21" s="338"/>
      <c r="C21" s="305"/>
      <c r="D21" s="339"/>
      <c r="E21" s="340"/>
      <c r="F21" s="375"/>
      <c r="G21" s="693" t="s">
        <v>37</v>
      </c>
      <c r="H21" s="343">
        <f>IF(G21='Response Guidelines'!$D$80,'Response Guidelines'!$C$80, IF(G21='Response Guidelines'!$D$81,'Response Guidelines'!$C$81,IF(G21='Response Guidelines'!$D$82,'Response Guidelines'!$C$82,IF(G21='Response Guidelines'!$D$83,'Response Guidelines'!$C$83,IF(G21='Response Guidelines'!$D$84,'Response Guidelines'!$C$84,IF(G21='Response Guidelines'!$D$85,'Response Guidelines'!$C$85,IF(G21='Response Guidelines'!$D$86,'Response Guidelines'!$C$86,"No Rating")))))))</f>
        <v>6</v>
      </c>
      <c r="I21" s="311">
        <f>(H21/$H$181)/_xlfn.XLOOKUP('Scoring Summary'!$D$15,'Response Guidelines'!$D$91:$D$190,'Response Guidelines'!$C$91:$C$190,"",0,1)</f>
        <v>1.3636363636363636E-2</v>
      </c>
      <c r="J21" s="39" t="s">
        <v>38</v>
      </c>
      <c r="K21" s="38">
        <f>I21</f>
        <v>1.3636363636363636E-2</v>
      </c>
      <c r="L21" s="304"/>
      <c r="M21" s="305"/>
    </row>
    <row r="22" spans="1:13" s="29" customFormat="1" ht="10" x14ac:dyDescent="0.35">
      <c r="A22" s="337"/>
      <c r="B22" s="338"/>
      <c r="C22" s="305"/>
      <c r="D22" s="329"/>
      <c r="E22" s="332"/>
      <c r="F22" s="376"/>
      <c r="G22" s="380"/>
      <c r="H22" s="310"/>
      <c r="I22" s="312"/>
      <c r="J22" s="39" t="s">
        <v>39</v>
      </c>
      <c r="K22" s="38">
        <v>1.2E-2</v>
      </c>
      <c r="L22" s="304"/>
      <c r="M22" s="305"/>
    </row>
    <row r="23" spans="1:13" s="29" customFormat="1" ht="10" x14ac:dyDescent="0.35">
      <c r="A23" s="337"/>
      <c r="B23" s="338"/>
      <c r="C23" s="305"/>
      <c r="D23" s="329"/>
      <c r="E23" s="332"/>
      <c r="F23" s="376"/>
      <c r="G23" s="380"/>
      <c r="H23" s="310"/>
      <c r="I23" s="312"/>
      <c r="J23" s="45" t="s">
        <v>40</v>
      </c>
      <c r="K23" s="38">
        <v>0.01</v>
      </c>
      <c r="L23" s="304"/>
      <c r="M23" s="305"/>
    </row>
    <row r="24" spans="1:13" s="29" customFormat="1" ht="10" x14ac:dyDescent="0.35">
      <c r="A24" s="337"/>
      <c r="B24" s="338"/>
      <c r="C24" s="305"/>
      <c r="D24" s="329"/>
      <c r="E24" s="332"/>
      <c r="F24" s="376"/>
      <c r="G24" s="380"/>
      <c r="H24" s="310"/>
      <c r="I24" s="312"/>
      <c r="J24" s="45" t="s">
        <v>41</v>
      </c>
      <c r="K24" s="38">
        <v>5.0000000000000001E-3</v>
      </c>
      <c r="L24" s="304"/>
      <c r="M24" s="305"/>
    </row>
    <row r="25" spans="1:13" s="29" customFormat="1" ht="10" x14ac:dyDescent="0.35">
      <c r="A25" s="337"/>
      <c r="B25" s="338"/>
      <c r="C25" s="305"/>
      <c r="D25" s="330"/>
      <c r="E25" s="333"/>
      <c r="F25" s="388"/>
      <c r="G25" s="788"/>
      <c r="H25" s="310"/>
      <c r="I25" s="312"/>
      <c r="J25" s="39" t="s">
        <v>42</v>
      </c>
      <c r="K25" s="38">
        <v>0</v>
      </c>
      <c r="L25" s="304"/>
      <c r="M25" s="305"/>
    </row>
    <row r="26" spans="1:13" s="29" customFormat="1" ht="10.4" customHeight="1" x14ac:dyDescent="0.35">
      <c r="A26" s="337">
        <v>3</v>
      </c>
      <c r="B26" s="781"/>
      <c r="C26" s="773"/>
      <c r="D26" s="648"/>
      <c r="E26" s="650"/>
      <c r="F26" s="383"/>
      <c r="G26" s="693" t="s">
        <v>37</v>
      </c>
      <c r="H26" s="343">
        <f>IF(G26='Response Guidelines'!$D$80,'Response Guidelines'!$C$80, IF(G26='Response Guidelines'!$D$81,'Response Guidelines'!$C$81,IF(G26='Response Guidelines'!$D$82,'Response Guidelines'!$C$82,IF(G26='Response Guidelines'!$D$83,'Response Guidelines'!$C$83,IF(G26='Response Guidelines'!$D$84,'Response Guidelines'!$C$84,IF(G26='Response Guidelines'!$D$85,'Response Guidelines'!$C$85,IF(G26='Response Guidelines'!$D$86,'Response Guidelines'!$C$86,"No Rating")))))))</f>
        <v>6</v>
      </c>
      <c r="I26" s="311">
        <f>(H26/$H$181)/_xlfn.XLOOKUP('Scoring Summary'!$D$15,'Response Guidelines'!$D$91:$D$190,'Response Guidelines'!$C$91:$C$190,"",0,1)</f>
        <v>1.3636363636363636E-2</v>
      </c>
      <c r="J26" s="39" t="s">
        <v>363</v>
      </c>
      <c r="K26" s="38">
        <f>I26</f>
        <v>1.3636363636363636E-2</v>
      </c>
      <c r="L26" s="304"/>
      <c r="M26" s="773"/>
    </row>
    <row r="27" spans="1:13" s="29" customFormat="1" ht="12.75" customHeight="1" x14ac:dyDescent="0.35">
      <c r="A27" s="337"/>
      <c r="B27" s="781"/>
      <c r="C27" s="773"/>
      <c r="D27" s="759"/>
      <c r="E27" s="433"/>
      <c r="F27" s="384"/>
      <c r="G27" s="380"/>
      <c r="H27" s="310"/>
      <c r="I27" s="312"/>
      <c r="J27" s="39"/>
      <c r="K27" s="38"/>
      <c r="L27" s="304"/>
      <c r="M27" s="773"/>
    </row>
    <row r="28" spans="1:13" s="29" customFormat="1" ht="12.75" customHeight="1" x14ac:dyDescent="0.35">
      <c r="A28" s="789"/>
      <c r="B28" s="790"/>
      <c r="C28" s="711"/>
      <c r="D28" s="759"/>
      <c r="E28" s="433"/>
      <c r="F28" s="384"/>
      <c r="G28" s="380"/>
      <c r="H28" s="310"/>
      <c r="I28" s="312"/>
      <c r="J28" s="44" t="s">
        <v>364</v>
      </c>
      <c r="K28" s="40">
        <f>K26/2</f>
        <v>6.8181818181818179E-3</v>
      </c>
      <c r="L28" s="508"/>
      <c r="M28" s="711"/>
    </row>
    <row r="29" spans="1:13" s="29" customFormat="1" ht="12.75" customHeight="1" x14ac:dyDescent="0.35">
      <c r="A29" s="789"/>
      <c r="B29" s="790"/>
      <c r="C29" s="711"/>
      <c r="D29" s="759"/>
      <c r="E29" s="433"/>
      <c r="F29" s="384"/>
      <c r="G29" s="380"/>
      <c r="H29" s="310"/>
      <c r="I29" s="312"/>
      <c r="J29" s="41"/>
      <c r="K29" s="40"/>
      <c r="L29" s="508"/>
      <c r="M29" s="711"/>
    </row>
    <row r="30" spans="1:13" s="29" customFormat="1" ht="11.15" customHeight="1" x14ac:dyDescent="0.35">
      <c r="A30" s="789"/>
      <c r="B30" s="781"/>
      <c r="C30" s="773"/>
      <c r="D30" s="647"/>
      <c r="E30" s="649"/>
      <c r="F30" s="787"/>
      <c r="G30" s="788"/>
      <c r="H30" s="310"/>
      <c r="I30" s="312"/>
      <c r="J30" s="39" t="s">
        <v>365</v>
      </c>
      <c r="K30" s="38">
        <v>0</v>
      </c>
      <c r="L30" s="304"/>
      <c r="M30" s="773"/>
    </row>
    <row r="31" spans="1:13" s="29" customFormat="1" ht="18.649999999999999" customHeight="1" x14ac:dyDescent="0.35">
      <c r="A31" s="778">
        <v>4</v>
      </c>
      <c r="B31" s="803" t="s">
        <v>366</v>
      </c>
      <c r="C31" s="694" t="s">
        <v>367</v>
      </c>
      <c r="D31" s="774"/>
      <c r="E31" s="433"/>
      <c r="F31" s="384"/>
      <c r="G31" s="693" t="s">
        <v>37</v>
      </c>
      <c r="H31" s="343">
        <f>IF(G31='Response Guidelines'!$D$80,'Response Guidelines'!$C$80, IF(G31='Response Guidelines'!$D$81,'Response Guidelines'!$C$81,IF(G31='Response Guidelines'!$D$82,'Response Guidelines'!$C$82,IF(G31='Response Guidelines'!$D$83,'Response Guidelines'!$C$83,IF(G31='Response Guidelines'!$D$84,'Response Guidelines'!$C$84,IF(G31='Response Guidelines'!$D$85,'Response Guidelines'!$C$85,IF(G31='Response Guidelines'!$D$86,'Response Guidelines'!$C$86,"No Rating")))))))</f>
        <v>6</v>
      </c>
      <c r="I31" s="311">
        <f>(H31/$H$181)/_xlfn.XLOOKUP('Scoring Summary'!$D$15,'Response Guidelines'!$D$91:$D$190,'Response Guidelines'!$C$91:$C$190,"",0,1)</f>
        <v>1.3636363636363636E-2</v>
      </c>
      <c r="J31" s="43" t="s">
        <v>368</v>
      </c>
      <c r="K31" s="42">
        <f>I31</f>
        <v>1.3636363636363636E-2</v>
      </c>
      <c r="L31" s="313"/>
      <c r="M31" s="694"/>
    </row>
    <row r="32" spans="1:13" s="29" customFormat="1" ht="18.649999999999999" customHeight="1" x14ac:dyDescent="0.35">
      <c r="A32" s="779"/>
      <c r="B32" s="781"/>
      <c r="C32" s="773"/>
      <c r="D32" s="759"/>
      <c r="E32" s="433"/>
      <c r="F32" s="384"/>
      <c r="G32" s="380"/>
      <c r="H32" s="310"/>
      <c r="I32" s="312"/>
      <c r="J32" s="39" t="s">
        <v>369</v>
      </c>
      <c r="K32" s="38">
        <v>5.0000000000000001E-3</v>
      </c>
      <c r="L32" s="304"/>
      <c r="M32" s="773"/>
    </row>
    <row r="33" spans="1:13" s="29" customFormat="1" ht="18.649999999999999" customHeight="1" x14ac:dyDescent="0.35">
      <c r="A33" s="779"/>
      <c r="B33" s="781"/>
      <c r="C33" s="773"/>
      <c r="D33" s="759"/>
      <c r="E33" s="433"/>
      <c r="F33" s="384"/>
      <c r="G33" s="380"/>
      <c r="H33" s="310"/>
      <c r="I33" s="312"/>
      <c r="J33" s="39" t="s">
        <v>370</v>
      </c>
      <c r="K33" s="38">
        <v>4.0000000000000001E-3</v>
      </c>
      <c r="L33" s="304"/>
      <c r="M33" s="773"/>
    </row>
    <row r="34" spans="1:13" s="29" customFormat="1" ht="18.649999999999999" customHeight="1" x14ac:dyDescent="0.35">
      <c r="A34" s="779"/>
      <c r="B34" s="781"/>
      <c r="C34" s="773"/>
      <c r="D34" s="759"/>
      <c r="E34" s="433"/>
      <c r="F34" s="384"/>
      <c r="G34" s="380"/>
      <c r="H34" s="310"/>
      <c r="I34" s="312"/>
      <c r="J34" s="39" t="s">
        <v>371</v>
      </c>
      <c r="K34" s="38">
        <v>3.0000000000000001E-3</v>
      </c>
      <c r="L34" s="304"/>
      <c r="M34" s="773"/>
    </row>
    <row r="35" spans="1:13" s="29" customFormat="1" ht="18.649999999999999" customHeight="1" x14ac:dyDescent="0.35">
      <c r="A35" s="802"/>
      <c r="B35" s="781"/>
      <c r="C35" s="773"/>
      <c r="D35" s="647"/>
      <c r="E35" s="649"/>
      <c r="F35" s="787"/>
      <c r="G35" s="788"/>
      <c r="H35" s="310"/>
      <c r="I35" s="312"/>
      <c r="J35" s="39" t="s">
        <v>372</v>
      </c>
      <c r="K35" s="38">
        <v>0</v>
      </c>
      <c r="L35" s="304"/>
      <c r="M35" s="773"/>
    </row>
    <row r="36" spans="1:13" s="29" customFormat="1" ht="11.15" customHeight="1" x14ac:dyDescent="0.35">
      <c r="A36" s="337">
        <v>5</v>
      </c>
      <c r="B36" s="781"/>
      <c r="C36" s="797"/>
      <c r="D36" s="800"/>
      <c r="E36" s="650"/>
      <c r="F36" s="383"/>
      <c r="G36" s="693" t="s">
        <v>37</v>
      </c>
      <c r="H36" s="343">
        <f>IF(G36='Response Guidelines'!$D$80,'Response Guidelines'!$C$80, IF(G36='Response Guidelines'!$D$81,'Response Guidelines'!$C$81,IF(G36='Response Guidelines'!$D$82,'Response Guidelines'!$C$82,IF(G36='Response Guidelines'!$D$83,'Response Guidelines'!$C$83,IF(G36='Response Guidelines'!$D$84,'Response Guidelines'!$C$84,IF(G36='Response Guidelines'!$D$85,'Response Guidelines'!$C$85,IF(G36='Response Guidelines'!$D$86,'Response Guidelines'!$C$86,"No Rating")))))))</f>
        <v>6</v>
      </c>
      <c r="I36" s="311">
        <f>(H36/$H$181)/_xlfn.XLOOKUP('Scoring Summary'!$D$15,'Response Guidelines'!$D$91:$D$190,'Response Guidelines'!$C$91:$C$190,"",0,1)</f>
        <v>1.3636363636363636E-2</v>
      </c>
      <c r="J36" s="39" t="s">
        <v>373</v>
      </c>
      <c r="K36" s="38">
        <f>I36</f>
        <v>1.3636363636363636E-2</v>
      </c>
      <c r="L36" s="304"/>
      <c r="M36" s="773"/>
    </row>
    <row r="37" spans="1:13" s="29" customFormat="1" ht="11.15" customHeight="1" x14ac:dyDescent="0.35">
      <c r="A37" s="337"/>
      <c r="B37" s="781"/>
      <c r="C37" s="798"/>
      <c r="D37" s="432"/>
      <c r="E37" s="433"/>
      <c r="F37" s="384"/>
      <c r="G37" s="380"/>
      <c r="H37" s="310"/>
      <c r="I37" s="312"/>
      <c r="J37" s="39"/>
      <c r="K37" s="38"/>
      <c r="L37" s="304"/>
      <c r="M37" s="773"/>
    </row>
    <row r="38" spans="1:13" s="29" customFormat="1" ht="11.15" customHeight="1" x14ac:dyDescent="0.35">
      <c r="A38" s="789"/>
      <c r="B38" s="790"/>
      <c r="C38" s="798"/>
      <c r="D38" s="432"/>
      <c r="E38" s="433"/>
      <c r="F38" s="384"/>
      <c r="G38" s="380"/>
      <c r="H38" s="310"/>
      <c r="I38" s="312"/>
      <c r="J38" s="41"/>
      <c r="K38" s="40"/>
      <c r="L38" s="508"/>
      <c r="M38" s="711"/>
    </row>
    <row r="39" spans="1:13" s="29" customFormat="1" ht="11.15" customHeight="1" x14ac:dyDescent="0.35">
      <c r="A39" s="789"/>
      <c r="B39" s="790"/>
      <c r="C39" s="798"/>
      <c r="D39" s="432"/>
      <c r="E39" s="433"/>
      <c r="F39" s="384"/>
      <c r="G39" s="380"/>
      <c r="H39" s="310"/>
      <c r="I39" s="312"/>
      <c r="J39" s="41"/>
      <c r="K39" s="40"/>
      <c r="L39" s="508"/>
      <c r="M39" s="711"/>
    </row>
    <row r="40" spans="1:13" s="29" customFormat="1" ht="11.15" customHeight="1" x14ac:dyDescent="0.35">
      <c r="A40" s="337"/>
      <c r="B40" s="781"/>
      <c r="C40" s="799"/>
      <c r="D40" s="801"/>
      <c r="E40" s="649"/>
      <c r="F40" s="787"/>
      <c r="G40" s="788"/>
      <c r="H40" s="310"/>
      <c r="I40" s="312"/>
      <c r="J40" s="39" t="s">
        <v>374</v>
      </c>
      <c r="K40" s="38">
        <v>0</v>
      </c>
      <c r="L40" s="304"/>
      <c r="M40" s="773"/>
    </row>
    <row r="41" spans="1:13" s="29" customFormat="1" ht="16.399999999999999" customHeight="1" x14ac:dyDescent="0.35">
      <c r="A41" s="804">
        <v>6</v>
      </c>
      <c r="B41" s="803" t="s">
        <v>375</v>
      </c>
      <c r="C41" s="384" t="s">
        <v>376</v>
      </c>
      <c r="D41" s="563"/>
      <c r="E41" s="433"/>
      <c r="F41" s="384"/>
      <c r="G41" s="693" t="s">
        <v>37</v>
      </c>
      <c r="H41" s="343">
        <f>IF(G41='Response Guidelines'!$D$80,'Response Guidelines'!$C$80, IF(G41='Response Guidelines'!$D$81,'Response Guidelines'!$C$81,IF(G41='Response Guidelines'!$D$82,'Response Guidelines'!$C$82,IF(G41='Response Guidelines'!$D$83,'Response Guidelines'!$C$83,IF(G41='Response Guidelines'!$D$84,'Response Guidelines'!$C$84,IF(G41='Response Guidelines'!$D$85,'Response Guidelines'!$C$85,IF(G41='Response Guidelines'!$D$86,'Response Guidelines'!$C$86,"No Rating")))))))</f>
        <v>6</v>
      </c>
      <c r="I41" s="311">
        <f>(H41/$H$181)/_xlfn.XLOOKUP('Scoring Summary'!$D$15,'Response Guidelines'!$D$91:$D$190,'Response Guidelines'!$C$91:$C$190,"",0,1)</f>
        <v>1.3636363636363636E-2</v>
      </c>
      <c r="J41" s="43" t="s">
        <v>377</v>
      </c>
      <c r="K41" s="42">
        <f>I41</f>
        <v>1.3636363636363636E-2</v>
      </c>
      <c r="L41" s="313"/>
      <c r="M41" s="694"/>
    </row>
    <row r="42" spans="1:13" s="29" customFormat="1" ht="16.399999999999999" customHeight="1" x14ac:dyDescent="0.35">
      <c r="A42" s="337"/>
      <c r="B42" s="781"/>
      <c r="C42" s="384"/>
      <c r="D42" s="432"/>
      <c r="E42" s="433"/>
      <c r="F42" s="384"/>
      <c r="G42" s="380"/>
      <c r="H42" s="310"/>
      <c r="I42" s="312"/>
      <c r="J42" s="39" t="s">
        <v>378</v>
      </c>
      <c r="K42" s="38">
        <v>5.0000000000000001E-3</v>
      </c>
      <c r="L42" s="304"/>
      <c r="M42" s="773"/>
    </row>
    <row r="43" spans="1:13" s="29" customFormat="1" ht="16.399999999999999" customHeight="1" x14ac:dyDescent="0.35">
      <c r="A43" s="337"/>
      <c r="B43" s="781"/>
      <c r="C43" s="384"/>
      <c r="D43" s="432"/>
      <c r="E43" s="433"/>
      <c r="F43" s="384"/>
      <c r="G43" s="380"/>
      <c r="H43" s="310"/>
      <c r="I43" s="312"/>
      <c r="J43" s="43" t="s">
        <v>379</v>
      </c>
      <c r="K43" s="38">
        <v>4.0000000000000001E-3</v>
      </c>
      <c r="L43" s="304"/>
      <c r="M43" s="773"/>
    </row>
    <row r="44" spans="1:13" s="29" customFormat="1" ht="16.399999999999999" customHeight="1" x14ac:dyDescent="0.35">
      <c r="A44" s="337"/>
      <c r="B44" s="781"/>
      <c r="C44" s="384"/>
      <c r="D44" s="432"/>
      <c r="E44" s="433"/>
      <c r="F44" s="384"/>
      <c r="G44" s="380"/>
      <c r="H44" s="310"/>
      <c r="I44" s="312"/>
      <c r="J44" s="41" t="s">
        <v>380</v>
      </c>
      <c r="K44" s="38">
        <v>3.0000000000000001E-3</v>
      </c>
      <c r="L44" s="304"/>
      <c r="M44" s="773"/>
    </row>
    <row r="45" spans="1:13" s="29" customFormat="1" ht="16.399999999999999" customHeight="1" x14ac:dyDescent="0.35">
      <c r="A45" s="337"/>
      <c r="B45" s="781"/>
      <c r="C45" s="384"/>
      <c r="D45" s="432"/>
      <c r="E45" s="433"/>
      <c r="F45" s="384"/>
      <c r="G45" s="788"/>
      <c r="H45" s="310"/>
      <c r="I45" s="312"/>
      <c r="J45" s="39" t="s">
        <v>381</v>
      </c>
      <c r="K45" s="38">
        <v>0</v>
      </c>
      <c r="L45" s="304"/>
      <c r="M45" s="773"/>
    </row>
    <row r="46" spans="1:13" s="29" customFormat="1" ht="11.15" customHeight="1" x14ac:dyDescent="0.35">
      <c r="A46" s="337">
        <v>7</v>
      </c>
      <c r="B46" s="781"/>
      <c r="C46" s="383"/>
      <c r="D46" s="800"/>
      <c r="E46" s="650"/>
      <c r="F46" s="383"/>
      <c r="G46" s="693" t="s">
        <v>37</v>
      </c>
      <c r="H46" s="343">
        <f>IF(G46='Response Guidelines'!$D$80,'Response Guidelines'!$C$80, IF(G46='Response Guidelines'!$D$81,'Response Guidelines'!$C$81,IF(G46='Response Guidelines'!$D$82,'Response Guidelines'!$C$82,IF(G46='Response Guidelines'!$D$83,'Response Guidelines'!$C$83,IF(G46='Response Guidelines'!$D$84,'Response Guidelines'!$C$84,IF(G46='Response Guidelines'!$D$85,'Response Guidelines'!$C$85,IF(G46='Response Guidelines'!$D$86,'Response Guidelines'!$C$86,"No Rating")))))))</f>
        <v>6</v>
      </c>
      <c r="I46" s="311">
        <f>(H46/$H$181)/_xlfn.XLOOKUP('Scoring Summary'!$D$15,'Response Guidelines'!$D$91:$D$190,'Response Guidelines'!$C$91:$C$190,"",0,1)</f>
        <v>1.3636363636363636E-2</v>
      </c>
      <c r="J46" s="39"/>
      <c r="K46" s="38">
        <f>I46</f>
        <v>1.3636363636363636E-2</v>
      </c>
      <c r="L46" s="508"/>
      <c r="M46" s="773"/>
    </row>
    <row r="47" spans="1:13" s="29" customFormat="1" ht="11.15" customHeight="1" x14ac:dyDescent="0.35">
      <c r="A47" s="337"/>
      <c r="B47" s="781"/>
      <c r="C47" s="384"/>
      <c r="D47" s="432"/>
      <c r="E47" s="433"/>
      <c r="F47" s="384"/>
      <c r="G47" s="380"/>
      <c r="H47" s="310"/>
      <c r="I47" s="312"/>
      <c r="J47" s="39"/>
      <c r="K47" s="38"/>
      <c r="L47" s="487"/>
      <c r="M47" s="773"/>
    </row>
    <row r="48" spans="1:13" s="29" customFormat="1" ht="11.15" customHeight="1" x14ac:dyDescent="0.35">
      <c r="A48" s="337"/>
      <c r="B48" s="781"/>
      <c r="C48" s="384"/>
      <c r="D48" s="432"/>
      <c r="E48" s="433"/>
      <c r="F48" s="384"/>
      <c r="G48" s="380"/>
      <c r="H48" s="310"/>
      <c r="I48" s="312"/>
      <c r="J48" s="39"/>
      <c r="K48" s="38"/>
      <c r="L48" s="487"/>
      <c r="M48" s="773"/>
    </row>
    <row r="49" spans="1:13" s="29" customFormat="1" ht="11.15" customHeight="1" x14ac:dyDescent="0.35">
      <c r="A49" s="337"/>
      <c r="B49" s="781"/>
      <c r="C49" s="384"/>
      <c r="D49" s="432"/>
      <c r="E49" s="433"/>
      <c r="F49" s="384"/>
      <c r="G49" s="380"/>
      <c r="H49" s="310"/>
      <c r="I49" s="312"/>
      <c r="J49" s="39"/>
      <c r="K49" s="38"/>
      <c r="L49" s="487"/>
      <c r="M49" s="773"/>
    </row>
    <row r="50" spans="1:13" s="29" customFormat="1" ht="11.15" customHeight="1" x14ac:dyDescent="0.35">
      <c r="A50" s="337"/>
      <c r="B50" s="781"/>
      <c r="C50" s="787"/>
      <c r="D50" s="801"/>
      <c r="E50" s="649"/>
      <c r="F50" s="787"/>
      <c r="G50" s="788"/>
      <c r="H50" s="310"/>
      <c r="I50" s="312"/>
      <c r="J50" s="39"/>
      <c r="K50" s="38">
        <v>0</v>
      </c>
      <c r="L50" s="313"/>
      <c r="M50" s="773"/>
    </row>
    <row r="51" spans="1:13" s="29" customFormat="1" ht="10" x14ac:dyDescent="0.35">
      <c r="A51" s="804">
        <v>8</v>
      </c>
      <c r="B51" s="796"/>
      <c r="C51" s="314"/>
      <c r="D51" s="329"/>
      <c r="E51" s="332"/>
      <c r="F51" s="376"/>
      <c r="G51" s="693" t="s">
        <v>37</v>
      </c>
      <c r="H51" s="343">
        <f>IF(G51='Response Guidelines'!$D$80,'Response Guidelines'!$C$80, IF(G51='Response Guidelines'!$D$81,'Response Guidelines'!$C$81,IF(G51='Response Guidelines'!$D$82,'Response Guidelines'!$C$82,IF(G51='Response Guidelines'!$D$83,'Response Guidelines'!$C$83,IF(G51='Response Guidelines'!$D$84,'Response Guidelines'!$C$84,IF(G51='Response Guidelines'!$D$85,'Response Guidelines'!$C$85,IF(G51='Response Guidelines'!$D$86,'Response Guidelines'!$C$86,"No Rating")))))))</f>
        <v>6</v>
      </c>
      <c r="I51" s="311">
        <f>(H51/$H$181)/_xlfn.XLOOKUP('Scoring Summary'!$D$15,'Response Guidelines'!$D$91:$D$190,'Response Guidelines'!$C$91:$C$190,"",0,1)</f>
        <v>1.3636363636363636E-2</v>
      </c>
      <c r="J51" s="43"/>
      <c r="K51" s="42">
        <f>I51</f>
        <v>1.3636363636363636E-2</v>
      </c>
      <c r="L51" s="313"/>
      <c r="M51" s="314"/>
    </row>
    <row r="52" spans="1:13" s="29" customFormat="1" ht="10" x14ac:dyDescent="0.35">
      <c r="A52" s="337"/>
      <c r="B52" s="338"/>
      <c r="C52" s="305"/>
      <c r="D52" s="329"/>
      <c r="E52" s="332"/>
      <c r="F52" s="376"/>
      <c r="G52" s="380"/>
      <c r="H52" s="310"/>
      <c r="I52" s="312"/>
      <c r="J52" s="39"/>
      <c r="K52" s="38">
        <v>1.2E-2</v>
      </c>
      <c r="L52" s="304"/>
      <c r="M52" s="305"/>
    </row>
    <row r="53" spans="1:13" s="29" customFormat="1" ht="10" x14ac:dyDescent="0.35">
      <c r="A53" s="337"/>
      <c r="B53" s="338"/>
      <c r="C53" s="305"/>
      <c r="D53" s="329"/>
      <c r="E53" s="332"/>
      <c r="F53" s="376"/>
      <c r="G53" s="380"/>
      <c r="H53" s="310"/>
      <c r="I53" s="312"/>
      <c r="J53" s="45"/>
      <c r="K53" s="38">
        <v>0.01</v>
      </c>
      <c r="L53" s="304"/>
      <c r="M53" s="305"/>
    </row>
    <row r="54" spans="1:13" s="29" customFormat="1" ht="10" x14ac:dyDescent="0.35">
      <c r="A54" s="337"/>
      <c r="B54" s="338"/>
      <c r="C54" s="305"/>
      <c r="D54" s="329"/>
      <c r="E54" s="332"/>
      <c r="F54" s="376"/>
      <c r="G54" s="380"/>
      <c r="H54" s="310"/>
      <c r="I54" s="312"/>
      <c r="J54" s="45"/>
      <c r="K54" s="38">
        <v>5.0000000000000001E-3</v>
      </c>
      <c r="L54" s="304"/>
      <c r="M54" s="305"/>
    </row>
    <row r="55" spans="1:13" s="29" customFormat="1" ht="10" x14ac:dyDescent="0.35">
      <c r="A55" s="337"/>
      <c r="B55" s="338"/>
      <c r="C55" s="305"/>
      <c r="D55" s="330"/>
      <c r="E55" s="333"/>
      <c r="F55" s="388"/>
      <c r="G55" s="788"/>
      <c r="H55" s="310"/>
      <c r="I55" s="312"/>
      <c r="J55" s="39"/>
      <c r="K55" s="38">
        <v>0</v>
      </c>
      <c r="L55" s="304"/>
      <c r="M55" s="305"/>
    </row>
    <row r="56" spans="1:13" s="29" customFormat="1" ht="10.4" customHeight="1" x14ac:dyDescent="0.35">
      <c r="A56" s="337">
        <v>9</v>
      </c>
      <c r="B56" s="781"/>
      <c r="C56" s="773"/>
      <c r="D56" s="648"/>
      <c r="E56" s="650"/>
      <c r="F56" s="383"/>
      <c r="G56" s="693" t="s">
        <v>37</v>
      </c>
      <c r="H56" s="343">
        <f>IF(G56='Response Guidelines'!$D$80,'Response Guidelines'!$C$80, IF(G56='Response Guidelines'!$D$81,'Response Guidelines'!$C$81,IF(G56='Response Guidelines'!$D$82,'Response Guidelines'!$C$82,IF(G56='Response Guidelines'!$D$83,'Response Guidelines'!$C$83,IF(G56='Response Guidelines'!$D$84,'Response Guidelines'!$C$84,IF(G56='Response Guidelines'!$D$85,'Response Guidelines'!$C$85,IF(G56='Response Guidelines'!$D$86,'Response Guidelines'!$C$86,"No Rating")))))))</f>
        <v>6</v>
      </c>
      <c r="I56" s="311">
        <f>(H56/$H$181)/_xlfn.XLOOKUP('Scoring Summary'!$D$15,'Response Guidelines'!$D$91:$D$190,'Response Guidelines'!$C$91:$C$190,"",0,1)</f>
        <v>1.3636363636363636E-2</v>
      </c>
      <c r="J56" s="39"/>
      <c r="K56" s="42">
        <f>I56</f>
        <v>1.3636363636363636E-2</v>
      </c>
      <c r="L56" s="304"/>
      <c r="M56" s="773"/>
    </row>
    <row r="57" spans="1:13" s="29" customFormat="1" ht="12.75" customHeight="1" x14ac:dyDescent="0.35">
      <c r="A57" s="337"/>
      <c r="B57" s="781"/>
      <c r="C57" s="773"/>
      <c r="D57" s="759"/>
      <c r="E57" s="433"/>
      <c r="F57" s="384"/>
      <c r="G57" s="380"/>
      <c r="H57" s="310"/>
      <c r="I57" s="312"/>
      <c r="J57" s="39"/>
      <c r="K57" s="38"/>
      <c r="L57" s="304"/>
      <c r="M57" s="773"/>
    </row>
    <row r="58" spans="1:13" s="29" customFormat="1" ht="12.75" customHeight="1" x14ac:dyDescent="0.35">
      <c r="A58" s="789"/>
      <c r="B58" s="790"/>
      <c r="C58" s="711"/>
      <c r="D58" s="759"/>
      <c r="E58" s="433"/>
      <c r="F58" s="384"/>
      <c r="G58" s="380"/>
      <c r="H58" s="310"/>
      <c r="I58" s="312"/>
      <c r="J58" s="44"/>
      <c r="K58" s="38"/>
      <c r="L58" s="508"/>
      <c r="M58" s="711"/>
    </row>
    <row r="59" spans="1:13" s="29" customFormat="1" ht="12.75" customHeight="1" x14ac:dyDescent="0.35">
      <c r="A59" s="789"/>
      <c r="B59" s="790"/>
      <c r="C59" s="711"/>
      <c r="D59" s="759"/>
      <c r="E59" s="433"/>
      <c r="F59" s="384"/>
      <c r="G59" s="380"/>
      <c r="H59" s="310"/>
      <c r="I59" s="312"/>
      <c r="J59" s="41"/>
      <c r="K59" s="38"/>
      <c r="L59" s="508"/>
      <c r="M59" s="711"/>
    </row>
    <row r="60" spans="1:13" s="29" customFormat="1" ht="11.15" customHeight="1" x14ac:dyDescent="0.35">
      <c r="A60" s="789"/>
      <c r="B60" s="781"/>
      <c r="C60" s="773"/>
      <c r="D60" s="647"/>
      <c r="E60" s="649"/>
      <c r="F60" s="787"/>
      <c r="G60" s="788"/>
      <c r="H60" s="310"/>
      <c r="I60" s="312"/>
      <c r="J60" s="39"/>
      <c r="K60" s="38">
        <v>0</v>
      </c>
      <c r="L60" s="304"/>
      <c r="M60" s="773"/>
    </row>
    <row r="61" spans="1:13" s="29" customFormat="1" ht="18.649999999999999" customHeight="1" x14ac:dyDescent="0.35">
      <c r="A61" s="778">
        <v>10</v>
      </c>
      <c r="B61" s="803"/>
      <c r="C61" s="694"/>
      <c r="D61" s="774"/>
      <c r="E61" s="433"/>
      <c r="F61" s="384"/>
      <c r="G61" s="693" t="s">
        <v>37</v>
      </c>
      <c r="H61" s="343">
        <f>IF(G61='Response Guidelines'!$D$80,'Response Guidelines'!$C$80, IF(G61='Response Guidelines'!$D$81,'Response Guidelines'!$C$81,IF(G61='Response Guidelines'!$D$82,'Response Guidelines'!$C$82,IF(G61='Response Guidelines'!$D$83,'Response Guidelines'!$C$83,IF(G61='Response Guidelines'!$D$84,'Response Guidelines'!$C$84,IF(G61='Response Guidelines'!$D$85,'Response Guidelines'!$C$85,IF(G61='Response Guidelines'!$D$86,'Response Guidelines'!$C$86,"No Rating")))))))</f>
        <v>6</v>
      </c>
      <c r="I61" s="311">
        <f>(H61/$H$181)/_xlfn.XLOOKUP('Scoring Summary'!$D$15,'Response Guidelines'!$D$91:$D$190,'Response Guidelines'!$C$91:$C$190,"",0,1)</f>
        <v>1.3636363636363636E-2</v>
      </c>
      <c r="J61" s="43"/>
      <c r="K61" s="42">
        <f>I61</f>
        <v>1.3636363636363636E-2</v>
      </c>
      <c r="L61" s="313"/>
      <c r="M61" s="694"/>
    </row>
    <row r="62" spans="1:13" s="29" customFormat="1" ht="18.649999999999999" customHeight="1" x14ac:dyDescent="0.35">
      <c r="A62" s="779"/>
      <c r="B62" s="781"/>
      <c r="C62" s="773"/>
      <c r="D62" s="759"/>
      <c r="E62" s="433"/>
      <c r="F62" s="384"/>
      <c r="G62" s="380"/>
      <c r="H62" s="310"/>
      <c r="I62" s="312"/>
      <c r="J62" s="39"/>
      <c r="K62" s="38">
        <v>5.0000000000000001E-3</v>
      </c>
      <c r="L62" s="304"/>
      <c r="M62" s="773"/>
    </row>
    <row r="63" spans="1:13" s="29" customFormat="1" ht="18.649999999999999" customHeight="1" x14ac:dyDescent="0.35">
      <c r="A63" s="779"/>
      <c r="B63" s="781"/>
      <c r="C63" s="773"/>
      <c r="D63" s="759"/>
      <c r="E63" s="433"/>
      <c r="F63" s="384"/>
      <c r="G63" s="380"/>
      <c r="H63" s="310"/>
      <c r="I63" s="312"/>
      <c r="J63" s="39"/>
      <c r="K63" s="38">
        <v>4.0000000000000001E-3</v>
      </c>
      <c r="L63" s="304"/>
      <c r="M63" s="773"/>
    </row>
    <row r="64" spans="1:13" s="29" customFormat="1" ht="18.649999999999999" customHeight="1" x14ac:dyDescent="0.35">
      <c r="A64" s="779"/>
      <c r="B64" s="781"/>
      <c r="C64" s="773"/>
      <c r="D64" s="759"/>
      <c r="E64" s="433"/>
      <c r="F64" s="384"/>
      <c r="G64" s="380"/>
      <c r="H64" s="310"/>
      <c r="I64" s="312"/>
      <c r="J64" s="39"/>
      <c r="K64" s="38">
        <v>3.0000000000000001E-3</v>
      </c>
      <c r="L64" s="304"/>
      <c r="M64" s="773"/>
    </row>
    <row r="65" spans="1:13" s="29" customFormat="1" ht="18.649999999999999" customHeight="1" x14ac:dyDescent="0.35">
      <c r="A65" s="802"/>
      <c r="B65" s="781"/>
      <c r="C65" s="773"/>
      <c r="D65" s="647"/>
      <c r="E65" s="649"/>
      <c r="F65" s="787"/>
      <c r="G65" s="788"/>
      <c r="H65" s="310"/>
      <c r="I65" s="312"/>
      <c r="J65" s="39"/>
      <c r="K65" s="38">
        <v>0</v>
      </c>
      <c r="L65" s="304"/>
      <c r="M65" s="773"/>
    </row>
    <row r="66" spans="1:13" s="29" customFormat="1" ht="11.15" customHeight="1" x14ac:dyDescent="0.35">
      <c r="A66" s="337">
        <v>11</v>
      </c>
      <c r="B66" s="781"/>
      <c r="C66" s="797"/>
      <c r="D66" s="800"/>
      <c r="E66" s="650"/>
      <c r="F66" s="383"/>
      <c r="G66" s="693" t="s">
        <v>37</v>
      </c>
      <c r="H66" s="343">
        <f>IF(G66='Response Guidelines'!$D$80,'Response Guidelines'!$C$80, IF(G66='Response Guidelines'!$D$81,'Response Guidelines'!$C$81,IF(G66='Response Guidelines'!$D$82,'Response Guidelines'!$C$82,IF(G66='Response Guidelines'!$D$83,'Response Guidelines'!$C$83,IF(G66='Response Guidelines'!$D$84,'Response Guidelines'!$C$84,IF(G66='Response Guidelines'!$D$85,'Response Guidelines'!$C$85,IF(G66='Response Guidelines'!$D$86,'Response Guidelines'!$C$86,"No Rating")))))))</f>
        <v>6</v>
      </c>
      <c r="I66" s="311">
        <f>(H66/$H$181)/_xlfn.XLOOKUP('Scoring Summary'!$D$15,'Response Guidelines'!$D$91:$D$190,'Response Guidelines'!$C$91:$C$190,"",0,1)</f>
        <v>1.3636363636363636E-2</v>
      </c>
      <c r="J66" s="39"/>
      <c r="K66" s="42">
        <f>I66</f>
        <v>1.3636363636363636E-2</v>
      </c>
      <c r="L66" s="304"/>
      <c r="M66" s="773"/>
    </row>
    <row r="67" spans="1:13" s="29" customFormat="1" ht="11.15" customHeight="1" x14ac:dyDescent="0.35">
      <c r="A67" s="337"/>
      <c r="B67" s="781"/>
      <c r="C67" s="798"/>
      <c r="D67" s="432"/>
      <c r="E67" s="433"/>
      <c r="F67" s="384"/>
      <c r="G67" s="380"/>
      <c r="H67" s="310"/>
      <c r="I67" s="312"/>
      <c r="J67" s="39"/>
      <c r="K67" s="38">
        <v>1.2E-2</v>
      </c>
      <c r="L67" s="304"/>
      <c r="M67" s="773"/>
    </row>
    <row r="68" spans="1:13" s="29" customFormat="1" ht="11.15" customHeight="1" x14ac:dyDescent="0.35">
      <c r="A68" s="789"/>
      <c r="B68" s="790"/>
      <c r="C68" s="798"/>
      <c r="D68" s="432"/>
      <c r="E68" s="433"/>
      <c r="F68" s="384"/>
      <c r="G68" s="380"/>
      <c r="H68" s="310"/>
      <c r="I68" s="312"/>
      <c r="J68" s="41"/>
      <c r="K68" s="38">
        <v>0.01</v>
      </c>
      <c r="L68" s="508"/>
      <c r="M68" s="711"/>
    </row>
    <row r="69" spans="1:13" s="29" customFormat="1" ht="11.15" customHeight="1" x14ac:dyDescent="0.35">
      <c r="A69" s="789"/>
      <c r="B69" s="790"/>
      <c r="C69" s="798"/>
      <c r="D69" s="432"/>
      <c r="E69" s="433"/>
      <c r="F69" s="384"/>
      <c r="G69" s="380"/>
      <c r="H69" s="310"/>
      <c r="I69" s="312"/>
      <c r="J69" s="41"/>
      <c r="K69" s="38">
        <v>5.0000000000000001E-3</v>
      </c>
      <c r="L69" s="508"/>
      <c r="M69" s="711"/>
    </row>
    <row r="70" spans="1:13" s="29" customFormat="1" ht="11.15" customHeight="1" x14ac:dyDescent="0.35">
      <c r="A70" s="337"/>
      <c r="B70" s="781"/>
      <c r="C70" s="799"/>
      <c r="D70" s="801"/>
      <c r="E70" s="649"/>
      <c r="F70" s="787"/>
      <c r="G70" s="788"/>
      <c r="H70" s="310"/>
      <c r="I70" s="312"/>
      <c r="J70" s="39"/>
      <c r="K70" s="38">
        <v>0</v>
      </c>
      <c r="L70" s="304"/>
      <c r="M70" s="773"/>
    </row>
    <row r="71" spans="1:13" s="29" customFormat="1" ht="16.399999999999999" customHeight="1" x14ac:dyDescent="0.35">
      <c r="A71" s="804">
        <v>12</v>
      </c>
      <c r="B71" s="803"/>
      <c r="C71" s="384"/>
      <c r="D71" s="563"/>
      <c r="E71" s="433"/>
      <c r="F71" s="384"/>
      <c r="G71" s="693" t="s">
        <v>37</v>
      </c>
      <c r="H71" s="343">
        <f>IF(G71='Response Guidelines'!$D$80,'Response Guidelines'!$C$80, IF(G71='Response Guidelines'!$D$81,'Response Guidelines'!$C$81,IF(G71='Response Guidelines'!$D$82,'Response Guidelines'!$C$82,IF(G71='Response Guidelines'!$D$83,'Response Guidelines'!$C$83,IF(G71='Response Guidelines'!$D$84,'Response Guidelines'!$C$84,IF(G71='Response Guidelines'!$D$85,'Response Guidelines'!$C$85,IF(G71='Response Guidelines'!$D$86,'Response Guidelines'!$C$86,"No Rating")))))))</f>
        <v>6</v>
      </c>
      <c r="I71" s="311">
        <f>(H71/$H$181)/_xlfn.XLOOKUP('Scoring Summary'!$D$15,'Response Guidelines'!$D$91:$D$190,'Response Guidelines'!$C$91:$C$190,"",0,1)</f>
        <v>1.3636363636363636E-2</v>
      </c>
      <c r="J71" s="43"/>
      <c r="K71" s="42">
        <f>I71</f>
        <v>1.3636363636363636E-2</v>
      </c>
      <c r="L71" s="313"/>
      <c r="M71" s="694"/>
    </row>
    <row r="72" spans="1:13" s="29" customFormat="1" ht="16.399999999999999" customHeight="1" x14ac:dyDescent="0.35">
      <c r="A72" s="337"/>
      <c r="B72" s="781"/>
      <c r="C72" s="384"/>
      <c r="D72" s="432"/>
      <c r="E72" s="433"/>
      <c r="F72" s="384"/>
      <c r="G72" s="380"/>
      <c r="H72" s="310"/>
      <c r="I72" s="312"/>
      <c r="J72" s="39"/>
      <c r="K72" s="38">
        <v>5.0000000000000001E-3</v>
      </c>
      <c r="L72" s="304"/>
      <c r="M72" s="773"/>
    </row>
    <row r="73" spans="1:13" s="29" customFormat="1" ht="16.399999999999999" customHeight="1" x14ac:dyDescent="0.35">
      <c r="A73" s="337"/>
      <c r="B73" s="781"/>
      <c r="C73" s="384"/>
      <c r="D73" s="432"/>
      <c r="E73" s="433"/>
      <c r="F73" s="384"/>
      <c r="G73" s="380"/>
      <c r="H73" s="310"/>
      <c r="I73" s="312"/>
      <c r="J73" s="43"/>
      <c r="K73" s="38">
        <v>4.0000000000000001E-3</v>
      </c>
      <c r="L73" s="304"/>
      <c r="M73" s="773"/>
    </row>
    <row r="74" spans="1:13" s="29" customFormat="1" ht="16.399999999999999" customHeight="1" x14ac:dyDescent="0.35">
      <c r="A74" s="337"/>
      <c r="B74" s="781"/>
      <c r="C74" s="384"/>
      <c r="D74" s="432"/>
      <c r="E74" s="433"/>
      <c r="F74" s="384"/>
      <c r="G74" s="380"/>
      <c r="H74" s="310"/>
      <c r="I74" s="312"/>
      <c r="J74" s="41"/>
      <c r="K74" s="38">
        <v>3.0000000000000001E-3</v>
      </c>
      <c r="L74" s="304"/>
      <c r="M74" s="773"/>
    </row>
    <row r="75" spans="1:13" s="29" customFormat="1" ht="16.399999999999999" customHeight="1" x14ac:dyDescent="0.35">
      <c r="A75" s="337"/>
      <c r="B75" s="781"/>
      <c r="C75" s="384"/>
      <c r="D75" s="432"/>
      <c r="E75" s="433"/>
      <c r="F75" s="384"/>
      <c r="G75" s="788"/>
      <c r="H75" s="310"/>
      <c r="I75" s="312"/>
      <c r="J75" s="39"/>
      <c r="K75" s="38">
        <v>0</v>
      </c>
      <c r="L75" s="304"/>
      <c r="M75" s="773"/>
    </row>
    <row r="76" spans="1:13" s="29" customFormat="1" ht="11.15" customHeight="1" x14ac:dyDescent="0.35">
      <c r="A76" s="337">
        <v>13</v>
      </c>
      <c r="B76" s="781"/>
      <c r="C76" s="797"/>
      <c r="D76" s="800"/>
      <c r="E76" s="650"/>
      <c r="F76" s="383"/>
      <c r="G76" s="693" t="s">
        <v>37</v>
      </c>
      <c r="H76" s="343">
        <f>IF(G76='Response Guidelines'!$D$80,'Response Guidelines'!$C$80, IF(G76='Response Guidelines'!$D$81,'Response Guidelines'!$C$81,IF(G76='Response Guidelines'!$D$82,'Response Guidelines'!$C$82,IF(G76='Response Guidelines'!$D$83,'Response Guidelines'!$C$83,IF(G76='Response Guidelines'!$D$84,'Response Guidelines'!$C$84,IF(G76='Response Guidelines'!$D$85,'Response Guidelines'!$C$85,IF(G76='Response Guidelines'!$D$86,'Response Guidelines'!$C$86,"No Rating")))))))</f>
        <v>6</v>
      </c>
      <c r="I76" s="311">
        <f>(H76/$H$181)/_xlfn.XLOOKUP('Scoring Summary'!$D$15,'Response Guidelines'!$D$91:$D$190,'Response Guidelines'!$C$91:$C$190,"",0,1)</f>
        <v>1.3636363636363636E-2</v>
      </c>
      <c r="J76" s="39"/>
      <c r="K76" s="38">
        <f>I76</f>
        <v>1.3636363636363636E-2</v>
      </c>
      <c r="L76" s="304"/>
      <c r="M76" s="773"/>
    </row>
    <row r="77" spans="1:13" s="29" customFormat="1" ht="11.15" customHeight="1" x14ac:dyDescent="0.35">
      <c r="A77" s="337"/>
      <c r="B77" s="781"/>
      <c r="C77" s="798"/>
      <c r="D77" s="432"/>
      <c r="E77" s="433"/>
      <c r="F77" s="384"/>
      <c r="G77" s="380"/>
      <c r="H77" s="310"/>
      <c r="I77" s="312"/>
      <c r="J77" s="39"/>
      <c r="K77" s="38"/>
      <c r="L77" s="304"/>
      <c r="M77" s="773"/>
    </row>
    <row r="78" spans="1:13" s="29" customFormat="1" ht="11.15" customHeight="1" x14ac:dyDescent="0.35">
      <c r="A78" s="789"/>
      <c r="B78" s="790"/>
      <c r="C78" s="798"/>
      <c r="D78" s="432"/>
      <c r="E78" s="433"/>
      <c r="F78" s="384"/>
      <c r="G78" s="380"/>
      <c r="H78" s="310"/>
      <c r="I78" s="312"/>
      <c r="J78" s="41"/>
      <c r="K78" s="40"/>
      <c r="L78" s="508"/>
      <c r="M78" s="711"/>
    </row>
    <row r="79" spans="1:13" s="29" customFormat="1" ht="11.15" customHeight="1" x14ac:dyDescent="0.35">
      <c r="A79" s="789"/>
      <c r="B79" s="790"/>
      <c r="C79" s="798"/>
      <c r="D79" s="432"/>
      <c r="E79" s="433"/>
      <c r="F79" s="384"/>
      <c r="G79" s="380"/>
      <c r="H79" s="310"/>
      <c r="I79" s="312"/>
      <c r="J79" s="41"/>
      <c r="K79" s="40"/>
      <c r="L79" s="508"/>
      <c r="M79" s="711"/>
    </row>
    <row r="80" spans="1:13" s="29" customFormat="1" ht="11.15" customHeight="1" x14ac:dyDescent="0.35">
      <c r="A80" s="337"/>
      <c r="B80" s="781"/>
      <c r="C80" s="799"/>
      <c r="D80" s="801"/>
      <c r="E80" s="649"/>
      <c r="F80" s="787"/>
      <c r="G80" s="788"/>
      <c r="H80" s="310"/>
      <c r="I80" s="312"/>
      <c r="J80" s="39"/>
      <c r="K80" s="38">
        <v>0</v>
      </c>
      <c r="L80" s="304"/>
      <c r="M80" s="773"/>
    </row>
    <row r="81" spans="1:13" s="29" customFormat="1" ht="16.399999999999999" customHeight="1" x14ac:dyDescent="0.35">
      <c r="A81" s="804">
        <v>14</v>
      </c>
      <c r="B81" s="803"/>
      <c r="C81" s="384"/>
      <c r="D81" s="563"/>
      <c r="E81" s="433"/>
      <c r="F81" s="384"/>
      <c r="G81" s="693" t="s">
        <v>37</v>
      </c>
      <c r="H81" s="343">
        <f>IF(G81='Response Guidelines'!$D$80,'Response Guidelines'!$C$80, IF(G81='Response Guidelines'!$D$81,'Response Guidelines'!$C$81,IF(G81='Response Guidelines'!$D$82,'Response Guidelines'!$C$82,IF(G81='Response Guidelines'!$D$83,'Response Guidelines'!$C$83,IF(G81='Response Guidelines'!$D$84,'Response Guidelines'!$C$84,IF(G81='Response Guidelines'!$D$85,'Response Guidelines'!$C$85,IF(G81='Response Guidelines'!$D$86,'Response Guidelines'!$C$86,"No Rating")))))))</f>
        <v>6</v>
      </c>
      <c r="I81" s="311">
        <f>(H81/$H$181)/_xlfn.XLOOKUP('Scoring Summary'!$D$15,'Response Guidelines'!$D$91:$D$190,'Response Guidelines'!$C$91:$C$190,"",0,1)</f>
        <v>1.3636363636363636E-2</v>
      </c>
      <c r="J81" s="43"/>
      <c r="K81" s="42">
        <f>I81</f>
        <v>1.3636363636363636E-2</v>
      </c>
      <c r="L81" s="313"/>
      <c r="M81" s="694"/>
    </row>
    <row r="82" spans="1:13" s="29" customFormat="1" ht="16.399999999999999" customHeight="1" x14ac:dyDescent="0.35">
      <c r="A82" s="337"/>
      <c r="B82" s="781"/>
      <c r="C82" s="384"/>
      <c r="D82" s="432"/>
      <c r="E82" s="433"/>
      <c r="F82" s="384"/>
      <c r="G82" s="380"/>
      <c r="H82" s="310"/>
      <c r="I82" s="312"/>
      <c r="J82" s="39"/>
      <c r="K82" s="38">
        <v>5.0000000000000001E-3</v>
      </c>
      <c r="L82" s="304"/>
      <c r="M82" s="773"/>
    </row>
    <row r="83" spans="1:13" s="29" customFormat="1" ht="16.399999999999999" customHeight="1" x14ac:dyDescent="0.35">
      <c r="A83" s="337"/>
      <c r="B83" s="781"/>
      <c r="C83" s="384"/>
      <c r="D83" s="432"/>
      <c r="E83" s="433"/>
      <c r="F83" s="384"/>
      <c r="G83" s="380"/>
      <c r="H83" s="310"/>
      <c r="I83" s="312"/>
      <c r="J83" s="43"/>
      <c r="K83" s="38">
        <v>4.0000000000000001E-3</v>
      </c>
      <c r="L83" s="304"/>
      <c r="M83" s="773"/>
    </row>
    <row r="84" spans="1:13" s="29" customFormat="1" ht="16.399999999999999" customHeight="1" x14ac:dyDescent="0.35">
      <c r="A84" s="337"/>
      <c r="B84" s="781"/>
      <c r="C84" s="384"/>
      <c r="D84" s="432"/>
      <c r="E84" s="433"/>
      <c r="F84" s="384"/>
      <c r="G84" s="380"/>
      <c r="H84" s="310"/>
      <c r="I84" s="312"/>
      <c r="J84" s="41"/>
      <c r="K84" s="38">
        <v>3.0000000000000001E-3</v>
      </c>
      <c r="L84" s="304"/>
      <c r="M84" s="773"/>
    </row>
    <row r="85" spans="1:13" s="29" customFormat="1" ht="16.399999999999999" customHeight="1" x14ac:dyDescent="0.35">
      <c r="A85" s="337"/>
      <c r="B85" s="781"/>
      <c r="C85" s="384"/>
      <c r="D85" s="432"/>
      <c r="E85" s="433"/>
      <c r="F85" s="384"/>
      <c r="G85" s="788"/>
      <c r="H85" s="310"/>
      <c r="I85" s="312"/>
      <c r="J85" s="39"/>
      <c r="K85" s="38">
        <v>0</v>
      </c>
      <c r="L85" s="304"/>
      <c r="M85" s="773"/>
    </row>
    <row r="86" spans="1:13" s="29" customFormat="1" ht="11.15" customHeight="1" x14ac:dyDescent="0.35">
      <c r="A86" s="337">
        <v>15</v>
      </c>
      <c r="B86" s="781"/>
      <c r="C86" s="383"/>
      <c r="D86" s="800"/>
      <c r="E86" s="650"/>
      <c r="F86" s="383"/>
      <c r="G86" s="693" t="s">
        <v>37</v>
      </c>
      <c r="H86" s="343">
        <f>IF(G86='Response Guidelines'!$D$80,'Response Guidelines'!$C$80, IF(G86='Response Guidelines'!$D$81,'Response Guidelines'!$C$81,IF(G86='Response Guidelines'!$D$82,'Response Guidelines'!$C$82,IF(G86='Response Guidelines'!$D$83,'Response Guidelines'!$C$83,IF(G86='Response Guidelines'!$D$84,'Response Guidelines'!$C$84,IF(G86='Response Guidelines'!$D$85,'Response Guidelines'!$C$85,IF(G86='Response Guidelines'!$D$86,'Response Guidelines'!$C$86,"No Rating")))))))</f>
        <v>6</v>
      </c>
      <c r="I86" s="311">
        <f>(H86/$H$181)/_xlfn.XLOOKUP('Scoring Summary'!$D$15,'Response Guidelines'!$D$91:$D$190,'Response Guidelines'!$C$91:$C$190,"",0,1)</f>
        <v>1.3636363636363636E-2</v>
      </c>
      <c r="J86" s="39"/>
      <c r="K86" s="38">
        <v>0.14000000000000001</v>
      </c>
      <c r="L86" s="508"/>
      <c r="M86" s="773"/>
    </row>
    <row r="87" spans="1:13" s="29" customFormat="1" ht="11.15" customHeight="1" x14ac:dyDescent="0.35">
      <c r="A87" s="337"/>
      <c r="B87" s="781"/>
      <c r="C87" s="384"/>
      <c r="D87" s="432"/>
      <c r="E87" s="433"/>
      <c r="F87" s="384"/>
      <c r="G87" s="380"/>
      <c r="H87" s="310"/>
      <c r="I87" s="312"/>
      <c r="J87" s="39"/>
      <c r="K87" s="38"/>
      <c r="L87" s="487"/>
      <c r="M87" s="773"/>
    </row>
    <row r="88" spans="1:13" s="29" customFormat="1" ht="11.15" customHeight="1" x14ac:dyDescent="0.35">
      <c r="A88" s="337"/>
      <c r="B88" s="781"/>
      <c r="C88" s="384"/>
      <c r="D88" s="432"/>
      <c r="E88" s="433"/>
      <c r="F88" s="384"/>
      <c r="G88" s="380"/>
      <c r="H88" s="310"/>
      <c r="I88" s="312"/>
      <c r="J88" s="39"/>
      <c r="K88" s="38"/>
      <c r="L88" s="487"/>
      <c r="M88" s="773"/>
    </row>
    <row r="89" spans="1:13" s="29" customFormat="1" ht="11.15" customHeight="1" x14ac:dyDescent="0.35">
      <c r="A89" s="337"/>
      <c r="B89" s="781"/>
      <c r="C89" s="384"/>
      <c r="D89" s="432"/>
      <c r="E89" s="433"/>
      <c r="F89" s="384"/>
      <c r="G89" s="380"/>
      <c r="H89" s="310"/>
      <c r="I89" s="312"/>
      <c r="J89" s="39"/>
      <c r="K89" s="38"/>
      <c r="L89" s="487"/>
      <c r="M89" s="773"/>
    </row>
    <row r="90" spans="1:13" s="29" customFormat="1" ht="11.15" customHeight="1" x14ac:dyDescent="0.35">
      <c r="A90" s="337"/>
      <c r="B90" s="781"/>
      <c r="C90" s="787"/>
      <c r="D90" s="801"/>
      <c r="E90" s="649"/>
      <c r="F90" s="787"/>
      <c r="G90" s="788"/>
      <c r="H90" s="310"/>
      <c r="I90" s="312"/>
      <c r="J90" s="39"/>
      <c r="K90" s="38">
        <v>0</v>
      </c>
      <c r="L90" s="313"/>
      <c r="M90" s="773"/>
    </row>
    <row r="91" spans="1:13" s="29" customFormat="1" ht="10" x14ac:dyDescent="0.35">
      <c r="A91" s="804">
        <v>16</v>
      </c>
      <c r="B91" s="796"/>
      <c r="C91" s="314"/>
      <c r="D91" s="329"/>
      <c r="E91" s="332"/>
      <c r="F91" s="376"/>
      <c r="G91" s="693" t="s">
        <v>37</v>
      </c>
      <c r="H91" s="343">
        <f>IF(G91='Response Guidelines'!$D$80,'Response Guidelines'!$C$80, IF(G91='Response Guidelines'!$D$81,'Response Guidelines'!$C$81,IF(G91='Response Guidelines'!$D$82,'Response Guidelines'!$C$82,IF(G91='Response Guidelines'!$D$83,'Response Guidelines'!$C$83,IF(G91='Response Guidelines'!$D$84,'Response Guidelines'!$C$84,IF(G91='Response Guidelines'!$D$85,'Response Guidelines'!$C$85,IF(G91='Response Guidelines'!$D$86,'Response Guidelines'!$C$86,"No Rating")))))))</f>
        <v>6</v>
      </c>
      <c r="I91" s="311">
        <f>(H91/$H$181)/_xlfn.XLOOKUP('Scoring Summary'!$D$15,'Response Guidelines'!$D$91:$D$190,'Response Guidelines'!$C$91:$C$190,"",0,1)</f>
        <v>1.3636363636363636E-2</v>
      </c>
      <c r="J91" s="43"/>
      <c r="K91" s="42">
        <f>I91</f>
        <v>1.3636363636363636E-2</v>
      </c>
      <c r="L91" s="313"/>
      <c r="M91" s="314"/>
    </row>
    <row r="92" spans="1:13" s="29" customFormat="1" ht="10" x14ac:dyDescent="0.35">
      <c r="A92" s="337"/>
      <c r="B92" s="338"/>
      <c r="C92" s="305"/>
      <c r="D92" s="329"/>
      <c r="E92" s="332"/>
      <c r="F92" s="376"/>
      <c r="G92" s="380"/>
      <c r="H92" s="310"/>
      <c r="I92" s="312"/>
      <c r="J92" s="39"/>
      <c r="K92" s="38">
        <v>1.2E-2</v>
      </c>
      <c r="L92" s="304"/>
      <c r="M92" s="305"/>
    </row>
    <row r="93" spans="1:13" s="29" customFormat="1" ht="10" x14ac:dyDescent="0.35">
      <c r="A93" s="337"/>
      <c r="B93" s="338"/>
      <c r="C93" s="305"/>
      <c r="D93" s="329"/>
      <c r="E93" s="332"/>
      <c r="F93" s="376"/>
      <c r="G93" s="380"/>
      <c r="H93" s="310"/>
      <c r="I93" s="312"/>
      <c r="J93" s="45"/>
      <c r="K93" s="38">
        <v>0.01</v>
      </c>
      <c r="L93" s="304"/>
      <c r="M93" s="305"/>
    </row>
    <row r="94" spans="1:13" s="29" customFormat="1" ht="10" x14ac:dyDescent="0.35">
      <c r="A94" s="337"/>
      <c r="B94" s="338"/>
      <c r="C94" s="305"/>
      <c r="D94" s="329"/>
      <c r="E94" s="332"/>
      <c r="F94" s="376"/>
      <c r="G94" s="380"/>
      <c r="H94" s="310"/>
      <c r="I94" s="312"/>
      <c r="J94" s="45"/>
      <c r="K94" s="38">
        <v>5.0000000000000001E-3</v>
      </c>
      <c r="L94" s="304"/>
      <c r="M94" s="305"/>
    </row>
    <row r="95" spans="1:13" s="29" customFormat="1" ht="10" x14ac:dyDescent="0.35">
      <c r="A95" s="337"/>
      <c r="B95" s="338"/>
      <c r="C95" s="305"/>
      <c r="D95" s="330"/>
      <c r="E95" s="333"/>
      <c r="F95" s="388"/>
      <c r="G95" s="788"/>
      <c r="H95" s="310"/>
      <c r="I95" s="312"/>
      <c r="J95" s="39"/>
      <c r="K95" s="38">
        <v>0</v>
      </c>
      <c r="L95" s="304"/>
      <c r="M95" s="305"/>
    </row>
    <row r="96" spans="1:13" s="29" customFormat="1" ht="10.4" customHeight="1" x14ac:dyDescent="0.35">
      <c r="A96" s="337">
        <v>17</v>
      </c>
      <c r="B96" s="781"/>
      <c r="C96" s="773"/>
      <c r="D96" s="648"/>
      <c r="E96" s="650"/>
      <c r="F96" s="383"/>
      <c r="G96" s="693" t="s">
        <v>37</v>
      </c>
      <c r="H96" s="343">
        <f>IF(G96='Response Guidelines'!$D$80,'Response Guidelines'!$C$80, IF(G96='Response Guidelines'!$D$81,'Response Guidelines'!$C$81,IF(G96='Response Guidelines'!$D$82,'Response Guidelines'!$C$82,IF(G96='Response Guidelines'!$D$83,'Response Guidelines'!$C$83,IF(G96='Response Guidelines'!$D$84,'Response Guidelines'!$C$84,IF(G96='Response Guidelines'!$D$85,'Response Guidelines'!$C$85,IF(G96='Response Guidelines'!$D$86,'Response Guidelines'!$C$86,"No Rating")))))))</f>
        <v>6</v>
      </c>
      <c r="I96" s="311">
        <f>(H96/$H$181)/_xlfn.XLOOKUP('Scoring Summary'!$D$15,'Response Guidelines'!$D$91:$D$190,'Response Guidelines'!$C$91:$C$190,"",0,1)</f>
        <v>1.3636363636363636E-2</v>
      </c>
      <c r="J96" s="39"/>
      <c r="K96" s="38">
        <f>I96</f>
        <v>1.3636363636363636E-2</v>
      </c>
      <c r="L96" s="304"/>
      <c r="M96" s="773"/>
    </row>
    <row r="97" spans="1:13" s="29" customFormat="1" ht="12.75" customHeight="1" x14ac:dyDescent="0.35">
      <c r="A97" s="337"/>
      <c r="B97" s="781"/>
      <c r="C97" s="773"/>
      <c r="D97" s="759"/>
      <c r="E97" s="433"/>
      <c r="F97" s="384"/>
      <c r="G97" s="380"/>
      <c r="H97" s="310"/>
      <c r="I97" s="312"/>
      <c r="J97" s="39"/>
      <c r="K97" s="38"/>
      <c r="L97" s="304"/>
      <c r="M97" s="773"/>
    </row>
    <row r="98" spans="1:13" s="29" customFormat="1" ht="12.75" customHeight="1" x14ac:dyDescent="0.35">
      <c r="A98" s="789"/>
      <c r="B98" s="790"/>
      <c r="C98" s="711"/>
      <c r="D98" s="759"/>
      <c r="E98" s="433"/>
      <c r="F98" s="384"/>
      <c r="G98" s="380"/>
      <c r="H98" s="310"/>
      <c r="I98" s="312"/>
      <c r="J98" s="44"/>
      <c r="K98" s="40">
        <v>3.0000000000000001E-3</v>
      </c>
      <c r="L98" s="508"/>
      <c r="M98" s="711"/>
    </row>
    <row r="99" spans="1:13" s="29" customFormat="1" ht="12.75" customHeight="1" x14ac:dyDescent="0.35">
      <c r="A99" s="789"/>
      <c r="B99" s="790"/>
      <c r="C99" s="711"/>
      <c r="D99" s="759"/>
      <c r="E99" s="433"/>
      <c r="F99" s="384"/>
      <c r="G99" s="380"/>
      <c r="H99" s="310"/>
      <c r="I99" s="312"/>
      <c r="J99" s="41"/>
      <c r="K99" s="40"/>
      <c r="L99" s="508"/>
      <c r="M99" s="711"/>
    </row>
    <row r="100" spans="1:13" s="29" customFormat="1" ht="11.15" customHeight="1" x14ac:dyDescent="0.35">
      <c r="A100" s="789"/>
      <c r="B100" s="781"/>
      <c r="C100" s="773"/>
      <c r="D100" s="647"/>
      <c r="E100" s="649"/>
      <c r="F100" s="787"/>
      <c r="G100" s="788"/>
      <c r="H100" s="310"/>
      <c r="I100" s="312"/>
      <c r="J100" s="39"/>
      <c r="K100" s="38">
        <v>0</v>
      </c>
      <c r="L100" s="304"/>
      <c r="M100" s="773"/>
    </row>
    <row r="101" spans="1:13" s="29" customFormat="1" ht="18.649999999999999" customHeight="1" x14ac:dyDescent="0.35">
      <c r="A101" s="778">
        <v>18</v>
      </c>
      <c r="B101" s="803"/>
      <c r="C101" s="694"/>
      <c r="D101" s="774"/>
      <c r="E101" s="433"/>
      <c r="F101" s="384"/>
      <c r="G101" s="693" t="s">
        <v>37</v>
      </c>
      <c r="H101" s="343">
        <f>IF(G101='Response Guidelines'!$D$80,'Response Guidelines'!$C$80, IF(G101='Response Guidelines'!$D$81,'Response Guidelines'!$C$81,IF(G101='Response Guidelines'!$D$82,'Response Guidelines'!$C$82,IF(G101='Response Guidelines'!$D$83,'Response Guidelines'!$C$83,IF(G101='Response Guidelines'!$D$84,'Response Guidelines'!$C$84,IF(G101='Response Guidelines'!$D$85,'Response Guidelines'!$C$85,IF(G101='Response Guidelines'!$D$86,'Response Guidelines'!$C$86,"No Rating")))))))</f>
        <v>6</v>
      </c>
      <c r="I101" s="311">
        <f>(H101/$H$181)/_xlfn.XLOOKUP('Scoring Summary'!$D$15,'Response Guidelines'!$D$91:$D$190,'Response Guidelines'!$C$91:$C$190,"",0,1)</f>
        <v>1.3636363636363636E-2</v>
      </c>
      <c r="J101" s="43"/>
      <c r="K101" s="42">
        <f>I101</f>
        <v>1.3636363636363636E-2</v>
      </c>
      <c r="L101" s="313"/>
      <c r="M101" s="694"/>
    </row>
    <row r="102" spans="1:13" s="29" customFormat="1" ht="18.649999999999999" customHeight="1" x14ac:dyDescent="0.35">
      <c r="A102" s="779"/>
      <c r="B102" s="781"/>
      <c r="C102" s="773"/>
      <c r="D102" s="759"/>
      <c r="E102" s="433"/>
      <c r="F102" s="384"/>
      <c r="G102" s="380"/>
      <c r="H102" s="310"/>
      <c r="I102" s="312"/>
      <c r="J102" s="39"/>
      <c r="K102" s="38">
        <v>5.0000000000000001E-3</v>
      </c>
      <c r="L102" s="304"/>
      <c r="M102" s="773"/>
    </row>
    <row r="103" spans="1:13" s="29" customFormat="1" ht="18.649999999999999" customHeight="1" x14ac:dyDescent="0.35">
      <c r="A103" s="779"/>
      <c r="B103" s="781"/>
      <c r="C103" s="773"/>
      <c r="D103" s="759"/>
      <c r="E103" s="433"/>
      <c r="F103" s="384"/>
      <c r="G103" s="380"/>
      <c r="H103" s="310"/>
      <c r="I103" s="312"/>
      <c r="J103" s="39"/>
      <c r="K103" s="38">
        <v>4.0000000000000001E-3</v>
      </c>
      <c r="L103" s="304"/>
      <c r="M103" s="773"/>
    </row>
    <row r="104" spans="1:13" s="29" customFormat="1" ht="18.649999999999999" customHeight="1" x14ac:dyDescent="0.35">
      <c r="A104" s="779"/>
      <c r="B104" s="781"/>
      <c r="C104" s="773"/>
      <c r="D104" s="759"/>
      <c r="E104" s="433"/>
      <c r="F104" s="384"/>
      <c r="G104" s="380"/>
      <c r="H104" s="310"/>
      <c r="I104" s="312"/>
      <c r="J104" s="39"/>
      <c r="K104" s="38">
        <v>3.0000000000000001E-3</v>
      </c>
      <c r="L104" s="304"/>
      <c r="M104" s="773"/>
    </row>
    <row r="105" spans="1:13" s="29" customFormat="1" ht="18.649999999999999" customHeight="1" x14ac:dyDescent="0.35">
      <c r="A105" s="802"/>
      <c r="B105" s="781"/>
      <c r="C105" s="773"/>
      <c r="D105" s="647"/>
      <c r="E105" s="649"/>
      <c r="F105" s="787"/>
      <c r="G105" s="788"/>
      <c r="H105" s="310"/>
      <c r="I105" s="312"/>
      <c r="J105" s="39"/>
      <c r="K105" s="38">
        <v>0</v>
      </c>
      <c r="L105" s="304"/>
      <c r="M105" s="773"/>
    </row>
    <row r="106" spans="1:13" s="29" customFormat="1" ht="11.15" customHeight="1" x14ac:dyDescent="0.35">
      <c r="A106" s="337">
        <v>19</v>
      </c>
      <c r="B106" s="781"/>
      <c r="C106" s="797"/>
      <c r="D106" s="800"/>
      <c r="E106" s="650"/>
      <c r="F106" s="383"/>
      <c r="G106" s="693" t="s">
        <v>37</v>
      </c>
      <c r="H106" s="343">
        <f>IF(G106='Response Guidelines'!$D$80,'Response Guidelines'!$C$80, IF(G106='Response Guidelines'!$D$81,'Response Guidelines'!$C$81,IF(G106='Response Guidelines'!$D$82,'Response Guidelines'!$C$82,IF(G106='Response Guidelines'!$D$83,'Response Guidelines'!$C$83,IF(G106='Response Guidelines'!$D$84,'Response Guidelines'!$C$84,IF(G106='Response Guidelines'!$D$85,'Response Guidelines'!$C$85,IF(G106='Response Guidelines'!$D$86,'Response Guidelines'!$C$86,"No Rating")))))))</f>
        <v>6</v>
      </c>
      <c r="I106" s="311">
        <f>(H106/$H$181)/_xlfn.XLOOKUP('Scoring Summary'!$D$15,'Response Guidelines'!$D$91:$D$190,'Response Guidelines'!$C$91:$C$190,"",0,1)</f>
        <v>1.3636363636363636E-2</v>
      </c>
      <c r="J106" s="39"/>
      <c r="K106" s="38">
        <f>I106</f>
        <v>1.3636363636363636E-2</v>
      </c>
      <c r="L106" s="304"/>
      <c r="M106" s="773"/>
    </row>
    <row r="107" spans="1:13" s="29" customFormat="1" ht="11.15" customHeight="1" x14ac:dyDescent="0.35">
      <c r="A107" s="337"/>
      <c r="B107" s="781"/>
      <c r="C107" s="798"/>
      <c r="D107" s="432"/>
      <c r="E107" s="433"/>
      <c r="F107" s="384"/>
      <c r="G107" s="380"/>
      <c r="H107" s="310"/>
      <c r="I107" s="312"/>
      <c r="J107" s="39"/>
      <c r="K107" s="38"/>
      <c r="L107" s="304"/>
      <c r="M107" s="773"/>
    </row>
    <row r="108" spans="1:13" s="29" customFormat="1" ht="11.15" customHeight="1" x14ac:dyDescent="0.35">
      <c r="A108" s="789"/>
      <c r="B108" s="790"/>
      <c r="C108" s="798"/>
      <c r="D108" s="432"/>
      <c r="E108" s="433"/>
      <c r="F108" s="384"/>
      <c r="G108" s="380"/>
      <c r="H108" s="310"/>
      <c r="I108" s="312"/>
      <c r="J108" s="41"/>
      <c r="K108" s="40"/>
      <c r="L108" s="508"/>
      <c r="M108" s="711"/>
    </row>
    <row r="109" spans="1:13" s="29" customFormat="1" ht="11.15" customHeight="1" x14ac:dyDescent="0.35">
      <c r="A109" s="789"/>
      <c r="B109" s="790"/>
      <c r="C109" s="798"/>
      <c r="D109" s="432"/>
      <c r="E109" s="433"/>
      <c r="F109" s="384"/>
      <c r="G109" s="380"/>
      <c r="H109" s="310"/>
      <c r="I109" s="312"/>
      <c r="J109" s="41"/>
      <c r="K109" s="40"/>
      <c r="L109" s="508"/>
      <c r="M109" s="711"/>
    </row>
    <row r="110" spans="1:13" s="29" customFormat="1" ht="11.15" customHeight="1" x14ac:dyDescent="0.35">
      <c r="A110" s="337"/>
      <c r="B110" s="781"/>
      <c r="C110" s="799"/>
      <c r="D110" s="801"/>
      <c r="E110" s="649"/>
      <c r="F110" s="787"/>
      <c r="G110" s="788"/>
      <c r="H110" s="310"/>
      <c r="I110" s="312"/>
      <c r="J110" s="39"/>
      <c r="K110" s="38">
        <v>0</v>
      </c>
      <c r="L110" s="304"/>
      <c r="M110" s="773"/>
    </row>
    <row r="111" spans="1:13" s="29" customFormat="1" ht="10.4" customHeight="1" x14ac:dyDescent="0.35">
      <c r="A111" s="337">
        <v>20</v>
      </c>
      <c r="B111" s="781"/>
      <c r="C111" s="773"/>
      <c r="D111" s="648"/>
      <c r="E111" s="650"/>
      <c r="F111" s="383"/>
      <c r="G111" s="693" t="s">
        <v>37</v>
      </c>
      <c r="H111" s="343">
        <f>IF(G111='Response Guidelines'!$D$80,'Response Guidelines'!$C$80, IF(G111='Response Guidelines'!$D$81,'Response Guidelines'!$C$81,IF(G111='Response Guidelines'!$D$82,'Response Guidelines'!$C$82,IF(G111='Response Guidelines'!$D$83,'Response Guidelines'!$C$83,IF(G111='Response Guidelines'!$D$84,'Response Guidelines'!$C$84,IF(G111='Response Guidelines'!$D$85,'Response Guidelines'!$C$85,IF(G111='Response Guidelines'!$D$86,'Response Guidelines'!$C$86,"No Rating")))))))</f>
        <v>6</v>
      </c>
      <c r="I111" s="311">
        <f>(H111/$H$181)/_xlfn.XLOOKUP('Scoring Summary'!$D$15,'Response Guidelines'!$D$91:$D$190,'Response Guidelines'!$C$91:$C$190,"",0,1)</f>
        <v>1.3636363636363636E-2</v>
      </c>
      <c r="J111" s="39"/>
      <c r="K111" s="38">
        <f>I111</f>
        <v>1.3636363636363636E-2</v>
      </c>
      <c r="L111" s="304"/>
      <c r="M111" s="773"/>
    </row>
    <row r="112" spans="1:13" s="29" customFormat="1" ht="12.75" customHeight="1" x14ac:dyDescent="0.35">
      <c r="A112" s="337"/>
      <c r="B112" s="781"/>
      <c r="C112" s="773"/>
      <c r="D112" s="759"/>
      <c r="E112" s="433"/>
      <c r="F112" s="384"/>
      <c r="G112" s="380"/>
      <c r="H112" s="310"/>
      <c r="I112" s="312"/>
      <c r="J112" s="39"/>
      <c r="K112" s="38"/>
      <c r="L112" s="304"/>
      <c r="M112" s="773"/>
    </row>
    <row r="113" spans="1:13" s="29" customFormat="1" ht="12.75" customHeight="1" x14ac:dyDescent="0.35">
      <c r="A113" s="789"/>
      <c r="B113" s="790"/>
      <c r="C113" s="711"/>
      <c r="D113" s="759"/>
      <c r="E113" s="433"/>
      <c r="F113" s="384"/>
      <c r="G113" s="380"/>
      <c r="H113" s="310"/>
      <c r="I113" s="312"/>
      <c r="J113" s="44"/>
      <c r="K113" s="40">
        <v>3.0000000000000001E-3</v>
      </c>
      <c r="L113" s="508"/>
      <c r="M113" s="711"/>
    </row>
    <row r="114" spans="1:13" s="29" customFormat="1" ht="12.75" customHeight="1" x14ac:dyDescent="0.35">
      <c r="A114" s="789"/>
      <c r="B114" s="790"/>
      <c r="C114" s="711"/>
      <c r="D114" s="759"/>
      <c r="E114" s="433"/>
      <c r="F114" s="384"/>
      <c r="G114" s="380"/>
      <c r="H114" s="310"/>
      <c r="I114" s="312"/>
      <c r="J114" s="41"/>
      <c r="K114" s="40"/>
      <c r="L114" s="508"/>
      <c r="M114" s="711"/>
    </row>
    <row r="115" spans="1:13" s="29" customFormat="1" ht="11.15" customHeight="1" x14ac:dyDescent="0.35">
      <c r="A115" s="789"/>
      <c r="B115" s="781"/>
      <c r="C115" s="773"/>
      <c r="D115" s="647"/>
      <c r="E115" s="649"/>
      <c r="F115" s="787"/>
      <c r="G115" s="788"/>
      <c r="H115" s="310"/>
      <c r="I115" s="312"/>
      <c r="J115" s="39"/>
      <c r="K115" s="38">
        <v>0.05</v>
      </c>
      <c r="L115" s="304"/>
      <c r="M115" s="773"/>
    </row>
    <row r="116" spans="1:13" s="29" customFormat="1" ht="18.649999999999999" customHeight="1" x14ac:dyDescent="0.35">
      <c r="A116" s="778">
        <v>21</v>
      </c>
      <c r="B116" s="803"/>
      <c r="C116" s="694"/>
      <c r="D116" s="774"/>
      <c r="E116" s="433"/>
      <c r="F116" s="384"/>
      <c r="G116" s="693" t="s">
        <v>37</v>
      </c>
      <c r="H116" s="343">
        <f>IF(G116='Response Guidelines'!$D$80,'Response Guidelines'!$C$80, IF(G116='Response Guidelines'!$D$81,'Response Guidelines'!$C$81,IF(G116='Response Guidelines'!$D$82,'Response Guidelines'!$C$82,IF(G116='Response Guidelines'!$D$83,'Response Guidelines'!$C$83,IF(G116='Response Guidelines'!$D$84,'Response Guidelines'!$C$84,IF(G116='Response Guidelines'!$D$85,'Response Guidelines'!$C$85,IF(G116='Response Guidelines'!$D$86,'Response Guidelines'!$C$86,"No Rating")))))))</f>
        <v>6</v>
      </c>
      <c r="I116" s="311">
        <f>(H116/$H$181)/_xlfn.XLOOKUP('Scoring Summary'!$D$15,'Response Guidelines'!$D$91:$D$190,'Response Guidelines'!$C$91:$C$190,"",0,1)</f>
        <v>1.3636363636363636E-2</v>
      </c>
      <c r="J116" s="43"/>
      <c r="K116" s="42">
        <f>I116</f>
        <v>1.3636363636363636E-2</v>
      </c>
      <c r="L116" s="313"/>
      <c r="M116" s="694"/>
    </row>
    <row r="117" spans="1:13" s="29" customFormat="1" ht="18.649999999999999" customHeight="1" x14ac:dyDescent="0.35">
      <c r="A117" s="779"/>
      <c r="B117" s="781"/>
      <c r="C117" s="773"/>
      <c r="D117" s="759"/>
      <c r="E117" s="433"/>
      <c r="F117" s="384"/>
      <c r="G117" s="380"/>
      <c r="H117" s="310"/>
      <c r="I117" s="312"/>
      <c r="J117" s="39"/>
      <c r="K117" s="38">
        <v>5.0000000000000001E-3</v>
      </c>
      <c r="L117" s="304"/>
      <c r="M117" s="773"/>
    </row>
    <row r="118" spans="1:13" s="29" customFormat="1" ht="18.649999999999999" customHeight="1" x14ac:dyDescent="0.35">
      <c r="A118" s="779"/>
      <c r="B118" s="781"/>
      <c r="C118" s="773"/>
      <c r="D118" s="759"/>
      <c r="E118" s="433"/>
      <c r="F118" s="384"/>
      <c r="G118" s="380"/>
      <c r="H118" s="310"/>
      <c r="I118" s="312"/>
      <c r="J118" s="39"/>
      <c r="K118" s="38">
        <v>4.0000000000000001E-3</v>
      </c>
      <c r="L118" s="304"/>
      <c r="M118" s="773"/>
    </row>
    <row r="119" spans="1:13" s="29" customFormat="1" ht="18.649999999999999" customHeight="1" x14ac:dyDescent="0.35">
      <c r="A119" s="779"/>
      <c r="B119" s="781"/>
      <c r="C119" s="773"/>
      <c r="D119" s="759"/>
      <c r="E119" s="433"/>
      <c r="F119" s="384"/>
      <c r="G119" s="380"/>
      <c r="H119" s="310"/>
      <c r="I119" s="312"/>
      <c r="J119" s="39"/>
      <c r="K119" s="38">
        <v>3.0000000000000001E-3</v>
      </c>
      <c r="L119" s="304"/>
      <c r="M119" s="773"/>
    </row>
    <row r="120" spans="1:13" s="29" customFormat="1" ht="18.649999999999999" customHeight="1" x14ac:dyDescent="0.35">
      <c r="A120" s="802"/>
      <c r="B120" s="781"/>
      <c r="C120" s="773"/>
      <c r="D120" s="647"/>
      <c r="E120" s="649"/>
      <c r="F120" s="787"/>
      <c r="G120" s="788"/>
      <c r="H120" s="310"/>
      <c r="I120" s="312"/>
      <c r="J120" s="39"/>
      <c r="K120" s="38">
        <v>0</v>
      </c>
      <c r="L120" s="304"/>
      <c r="M120" s="773"/>
    </row>
    <row r="121" spans="1:13" s="29" customFormat="1" ht="11.15" customHeight="1" x14ac:dyDescent="0.35">
      <c r="A121" s="337">
        <v>23</v>
      </c>
      <c r="B121" s="781"/>
      <c r="C121" s="797"/>
      <c r="D121" s="800"/>
      <c r="E121" s="650"/>
      <c r="F121" s="383"/>
      <c r="G121" s="693" t="s">
        <v>37</v>
      </c>
      <c r="H121" s="343">
        <f>IF(G121='Response Guidelines'!$D$80,'Response Guidelines'!$C$80, IF(G121='Response Guidelines'!$D$81,'Response Guidelines'!$C$81,IF(G121='Response Guidelines'!$D$82,'Response Guidelines'!$C$82,IF(G121='Response Guidelines'!$D$83,'Response Guidelines'!$C$83,IF(G121='Response Guidelines'!$D$84,'Response Guidelines'!$C$84,IF(G121='Response Guidelines'!$D$85,'Response Guidelines'!$C$85,IF(G121='Response Guidelines'!$D$86,'Response Guidelines'!$C$86,"No Rating")))))))</f>
        <v>6</v>
      </c>
      <c r="I121" s="311">
        <f>(H121/$H$181)/_xlfn.XLOOKUP('Scoring Summary'!$D$15,'Response Guidelines'!$D$91:$D$190,'Response Guidelines'!$C$91:$C$190,"",0,1)</f>
        <v>1.3636363636363636E-2</v>
      </c>
      <c r="J121" s="39"/>
      <c r="K121" s="38">
        <f>I121</f>
        <v>1.3636363636363636E-2</v>
      </c>
      <c r="L121" s="304"/>
      <c r="M121" s="773"/>
    </row>
    <row r="122" spans="1:13" s="29" customFormat="1" ht="11.15" customHeight="1" x14ac:dyDescent="0.35">
      <c r="A122" s="337"/>
      <c r="B122" s="781"/>
      <c r="C122" s="798"/>
      <c r="D122" s="432"/>
      <c r="E122" s="433"/>
      <c r="F122" s="384"/>
      <c r="G122" s="380"/>
      <c r="H122" s="310"/>
      <c r="I122" s="312"/>
      <c r="J122" s="39"/>
      <c r="K122" s="38"/>
      <c r="L122" s="304"/>
      <c r="M122" s="773"/>
    </row>
    <row r="123" spans="1:13" s="29" customFormat="1" ht="11.15" customHeight="1" x14ac:dyDescent="0.35">
      <c r="A123" s="789"/>
      <c r="B123" s="790"/>
      <c r="C123" s="798"/>
      <c r="D123" s="432"/>
      <c r="E123" s="433"/>
      <c r="F123" s="384"/>
      <c r="G123" s="380"/>
      <c r="H123" s="310"/>
      <c r="I123" s="312"/>
      <c r="J123" s="41"/>
      <c r="K123" s="40"/>
      <c r="L123" s="508"/>
      <c r="M123" s="711"/>
    </row>
    <row r="124" spans="1:13" s="29" customFormat="1" ht="11.15" customHeight="1" x14ac:dyDescent="0.35">
      <c r="A124" s="789"/>
      <c r="B124" s="790"/>
      <c r="C124" s="798"/>
      <c r="D124" s="432"/>
      <c r="E124" s="433"/>
      <c r="F124" s="384"/>
      <c r="G124" s="380"/>
      <c r="H124" s="310"/>
      <c r="I124" s="312"/>
      <c r="J124" s="41"/>
      <c r="K124" s="40"/>
      <c r="L124" s="508"/>
      <c r="M124" s="711"/>
    </row>
    <row r="125" spans="1:13" s="29" customFormat="1" ht="11.15" customHeight="1" x14ac:dyDescent="0.35">
      <c r="A125" s="337"/>
      <c r="B125" s="781"/>
      <c r="C125" s="799"/>
      <c r="D125" s="801"/>
      <c r="E125" s="649"/>
      <c r="F125" s="787"/>
      <c r="G125" s="788"/>
      <c r="H125" s="310"/>
      <c r="I125" s="312"/>
      <c r="J125" s="39"/>
      <c r="K125" s="38">
        <v>0</v>
      </c>
      <c r="L125" s="304"/>
      <c r="M125" s="773"/>
    </row>
    <row r="126" spans="1:13" s="29" customFormat="1" ht="11.15" customHeight="1" x14ac:dyDescent="0.35">
      <c r="A126" s="337">
        <v>24</v>
      </c>
      <c r="B126" s="781"/>
      <c r="C126" s="383"/>
      <c r="D126" s="648"/>
      <c r="E126" s="650"/>
      <c r="F126" s="383"/>
      <c r="G126" s="693" t="s">
        <v>37</v>
      </c>
      <c r="H126" s="343">
        <f>IF(G126='Response Guidelines'!$D$80,'Response Guidelines'!$C$80, IF(G126='Response Guidelines'!$D$81,'Response Guidelines'!$C$81,IF(G126='Response Guidelines'!$D$82,'Response Guidelines'!$C$82,IF(G126='Response Guidelines'!$D$83,'Response Guidelines'!$C$83,IF(G126='Response Guidelines'!$D$84,'Response Guidelines'!$C$84,IF(G126='Response Guidelines'!$D$85,'Response Guidelines'!$C$85,IF(G126='Response Guidelines'!$D$86,'Response Guidelines'!$C$86,"No Rating")))))))</f>
        <v>6</v>
      </c>
      <c r="I126" s="311">
        <f>(H126/$H$181)/_xlfn.XLOOKUP('Scoring Summary'!$D$15,'Response Guidelines'!$D$91:$D$190,'Response Guidelines'!$C$91:$C$190,"",0,1)</f>
        <v>1.3636363636363636E-2</v>
      </c>
      <c r="J126" s="39"/>
      <c r="K126" s="38">
        <f>I126</f>
        <v>1.3636363636363636E-2</v>
      </c>
      <c r="L126" s="508"/>
      <c r="M126" s="773"/>
    </row>
    <row r="127" spans="1:13" s="29" customFormat="1" ht="11.15" customHeight="1" x14ac:dyDescent="0.35">
      <c r="A127" s="337"/>
      <c r="B127" s="781"/>
      <c r="C127" s="384"/>
      <c r="D127" s="759"/>
      <c r="E127" s="433"/>
      <c r="F127" s="384"/>
      <c r="G127" s="380"/>
      <c r="H127" s="310"/>
      <c r="I127" s="312"/>
      <c r="J127" s="39"/>
      <c r="K127" s="38"/>
      <c r="L127" s="487"/>
      <c r="M127" s="773"/>
    </row>
    <row r="128" spans="1:13" s="29" customFormat="1" ht="11.15" customHeight="1" x14ac:dyDescent="0.35">
      <c r="A128" s="337"/>
      <c r="B128" s="781"/>
      <c r="C128" s="384"/>
      <c r="D128" s="759"/>
      <c r="E128" s="433"/>
      <c r="F128" s="384"/>
      <c r="G128" s="380"/>
      <c r="H128" s="310"/>
      <c r="I128" s="312"/>
      <c r="J128" s="39"/>
      <c r="K128" s="38"/>
      <c r="L128" s="487"/>
      <c r="M128" s="773"/>
    </row>
    <row r="129" spans="1:13" s="29" customFormat="1" ht="11.15" customHeight="1" x14ac:dyDescent="0.35">
      <c r="A129" s="337"/>
      <c r="B129" s="781"/>
      <c r="C129" s="384"/>
      <c r="D129" s="759"/>
      <c r="E129" s="433"/>
      <c r="F129" s="384"/>
      <c r="G129" s="380"/>
      <c r="H129" s="310"/>
      <c r="I129" s="312"/>
      <c r="J129" s="39"/>
      <c r="K129" s="38"/>
      <c r="L129" s="487"/>
      <c r="M129" s="773"/>
    </row>
    <row r="130" spans="1:13" s="29" customFormat="1" ht="11.15" customHeight="1" x14ac:dyDescent="0.35">
      <c r="A130" s="337"/>
      <c r="B130" s="781"/>
      <c r="C130" s="787"/>
      <c r="D130" s="647"/>
      <c r="E130" s="649"/>
      <c r="F130" s="787"/>
      <c r="G130" s="788"/>
      <c r="H130" s="310"/>
      <c r="I130" s="312"/>
      <c r="J130" s="39"/>
      <c r="K130" s="38">
        <v>0</v>
      </c>
      <c r="L130" s="313"/>
      <c r="M130" s="773"/>
    </row>
    <row r="131" spans="1:13" s="29" customFormat="1" ht="10" x14ac:dyDescent="0.35">
      <c r="A131" s="804">
        <v>25</v>
      </c>
      <c r="B131" s="796"/>
      <c r="C131" s="314"/>
      <c r="D131" s="329"/>
      <c r="E131" s="332"/>
      <c r="F131" s="376"/>
      <c r="G131" s="693" t="s">
        <v>37</v>
      </c>
      <c r="H131" s="343">
        <f>IF(G131='Response Guidelines'!$D$80,'Response Guidelines'!$C$80, IF(G131='Response Guidelines'!$D$81,'Response Guidelines'!$C$81,IF(G131='Response Guidelines'!$D$82,'Response Guidelines'!$C$82,IF(G131='Response Guidelines'!$D$83,'Response Guidelines'!$C$83,IF(G131='Response Guidelines'!$D$84,'Response Guidelines'!$C$84,IF(G131='Response Guidelines'!$D$85,'Response Guidelines'!$C$85,IF(G131='Response Guidelines'!$D$86,'Response Guidelines'!$C$86,"No Rating")))))))</f>
        <v>6</v>
      </c>
      <c r="I131" s="311">
        <f>(H131/$H$181)/_xlfn.XLOOKUP('Scoring Summary'!$D$15,'Response Guidelines'!$D$91:$D$190,'Response Guidelines'!$C$91:$C$190,"",0,1)</f>
        <v>1.3636363636363636E-2</v>
      </c>
      <c r="J131" s="43"/>
      <c r="K131" s="42">
        <f>I131</f>
        <v>1.3636363636363636E-2</v>
      </c>
      <c r="L131" s="313"/>
      <c r="M131" s="314"/>
    </row>
    <row r="132" spans="1:13" s="29" customFormat="1" ht="10" x14ac:dyDescent="0.35">
      <c r="A132" s="337"/>
      <c r="B132" s="338"/>
      <c r="C132" s="305"/>
      <c r="D132" s="329"/>
      <c r="E132" s="332"/>
      <c r="F132" s="376"/>
      <c r="G132" s="380"/>
      <c r="H132" s="310"/>
      <c r="I132" s="312"/>
      <c r="J132" s="39"/>
      <c r="K132" s="38">
        <v>1.2E-2</v>
      </c>
      <c r="L132" s="304"/>
      <c r="M132" s="305"/>
    </row>
    <row r="133" spans="1:13" s="29" customFormat="1" ht="10" x14ac:dyDescent="0.35">
      <c r="A133" s="337"/>
      <c r="B133" s="338"/>
      <c r="C133" s="305"/>
      <c r="D133" s="329"/>
      <c r="E133" s="332"/>
      <c r="F133" s="376"/>
      <c r="G133" s="380"/>
      <c r="H133" s="310"/>
      <c r="I133" s="312"/>
      <c r="J133" s="45"/>
      <c r="K133" s="38">
        <v>0.01</v>
      </c>
      <c r="L133" s="304"/>
      <c r="M133" s="305"/>
    </row>
    <row r="134" spans="1:13" s="29" customFormat="1" ht="10" x14ac:dyDescent="0.35">
      <c r="A134" s="337"/>
      <c r="B134" s="338"/>
      <c r="C134" s="305"/>
      <c r="D134" s="329"/>
      <c r="E134" s="332"/>
      <c r="F134" s="376"/>
      <c r="G134" s="380"/>
      <c r="H134" s="310"/>
      <c r="I134" s="312"/>
      <c r="J134" s="45"/>
      <c r="K134" s="38">
        <v>5.0000000000000001E-3</v>
      </c>
      <c r="L134" s="304"/>
      <c r="M134" s="305"/>
    </row>
    <row r="135" spans="1:13" s="29" customFormat="1" ht="10" x14ac:dyDescent="0.35">
      <c r="A135" s="337"/>
      <c r="B135" s="338"/>
      <c r="C135" s="305"/>
      <c r="D135" s="330"/>
      <c r="E135" s="333"/>
      <c r="F135" s="388"/>
      <c r="G135" s="788"/>
      <c r="H135" s="310"/>
      <c r="I135" s="312"/>
      <c r="J135" s="39"/>
      <c r="K135" s="38">
        <v>0</v>
      </c>
      <c r="L135" s="304"/>
      <c r="M135" s="305"/>
    </row>
    <row r="136" spans="1:13" s="29" customFormat="1" ht="10.4" customHeight="1" x14ac:dyDescent="0.35">
      <c r="A136" s="337">
        <v>26</v>
      </c>
      <c r="B136" s="781"/>
      <c r="C136" s="773"/>
      <c r="D136" s="648"/>
      <c r="E136" s="650"/>
      <c r="F136" s="383"/>
      <c r="G136" s="693" t="s">
        <v>37</v>
      </c>
      <c r="H136" s="343">
        <f>IF(G136='Response Guidelines'!$D$80,'Response Guidelines'!$C$80, IF(G136='Response Guidelines'!$D$81,'Response Guidelines'!$C$81,IF(G136='Response Guidelines'!$D$82,'Response Guidelines'!$C$82,IF(G136='Response Guidelines'!$D$83,'Response Guidelines'!$C$83,IF(G136='Response Guidelines'!$D$84,'Response Guidelines'!$C$84,IF(G136='Response Guidelines'!$D$85,'Response Guidelines'!$C$85,IF(G136='Response Guidelines'!$D$86,'Response Guidelines'!$C$86,"No Rating")))))))</f>
        <v>6</v>
      </c>
      <c r="I136" s="311">
        <f>(H136/$H$181)/_xlfn.XLOOKUP('Scoring Summary'!$D$15,'Response Guidelines'!$D$91:$D$190,'Response Guidelines'!$C$91:$C$190,"",0,1)</f>
        <v>1.3636363636363636E-2</v>
      </c>
      <c r="J136" s="39"/>
      <c r="K136" s="38">
        <f>I136</f>
        <v>1.3636363636363636E-2</v>
      </c>
      <c r="L136" s="304"/>
      <c r="M136" s="773"/>
    </row>
    <row r="137" spans="1:13" s="29" customFormat="1" ht="12.75" customHeight="1" x14ac:dyDescent="0.35">
      <c r="A137" s="337"/>
      <c r="B137" s="781"/>
      <c r="C137" s="773"/>
      <c r="D137" s="759"/>
      <c r="E137" s="433"/>
      <c r="F137" s="384"/>
      <c r="G137" s="380"/>
      <c r="H137" s="310"/>
      <c r="I137" s="312"/>
      <c r="J137" s="39"/>
      <c r="K137" s="38"/>
      <c r="L137" s="304"/>
      <c r="M137" s="773"/>
    </row>
    <row r="138" spans="1:13" s="29" customFormat="1" ht="12.75" customHeight="1" x14ac:dyDescent="0.35">
      <c r="A138" s="789"/>
      <c r="B138" s="790"/>
      <c r="C138" s="711"/>
      <c r="D138" s="759"/>
      <c r="E138" s="433"/>
      <c r="F138" s="384"/>
      <c r="G138" s="380"/>
      <c r="H138" s="310"/>
      <c r="I138" s="312"/>
      <c r="J138" s="44"/>
      <c r="K138" s="40">
        <v>3.0000000000000001E-3</v>
      </c>
      <c r="L138" s="508"/>
      <c r="M138" s="711"/>
    </row>
    <row r="139" spans="1:13" s="29" customFormat="1" ht="12.75" customHeight="1" x14ac:dyDescent="0.35">
      <c r="A139" s="789"/>
      <c r="B139" s="790"/>
      <c r="C139" s="711"/>
      <c r="D139" s="759"/>
      <c r="E139" s="433"/>
      <c r="F139" s="384"/>
      <c r="G139" s="380"/>
      <c r="H139" s="310"/>
      <c r="I139" s="312"/>
      <c r="J139" s="41"/>
      <c r="K139" s="40"/>
      <c r="L139" s="508"/>
      <c r="M139" s="711"/>
    </row>
    <row r="140" spans="1:13" s="29" customFormat="1" ht="11.15" customHeight="1" x14ac:dyDescent="0.35">
      <c r="A140" s="789"/>
      <c r="B140" s="781"/>
      <c r="C140" s="773"/>
      <c r="D140" s="647"/>
      <c r="E140" s="649"/>
      <c r="F140" s="787"/>
      <c r="G140" s="788"/>
      <c r="H140" s="310"/>
      <c r="I140" s="312"/>
      <c r="J140" s="39"/>
      <c r="K140" s="38">
        <v>0</v>
      </c>
      <c r="L140" s="304"/>
      <c r="M140" s="773"/>
    </row>
    <row r="141" spans="1:13" s="29" customFormat="1" ht="18.649999999999999" customHeight="1" x14ac:dyDescent="0.35">
      <c r="A141" s="778">
        <v>27</v>
      </c>
      <c r="B141" s="803"/>
      <c r="C141" s="694"/>
      <c r="D141" s="774"/>
      <c r="E141" s="433"/>
      <c r="F141" s="384"/>
      <c r="G141" s="693" t="s">
        <v>37</v>
      </c>
      <c r="H141" s="343">
        <f>IF(G141='Response Guidelines'!$D$80,'Response Guidelines'!$C$80, IF(G141='Response Guidelines'!$D$81,'Response Guidelines'!$C$81,IF(G141='Response Guidelines'!$D$82,'Response Guidelines'!$C$82,IF(G141='Response Guidelines'!$D$83,'Response Guidelines'!$C$83,IF(G141='Response Guidelines'!$D$84,'Response Guidelines'!$C$84,IF(G141='Response Guidelines'!$D$85,'Response Guidelines'!$C$85,IF(G141='Response Guidelines'!$D$86,'Response Guidelines'!$C$86,"No Rating")))))))</f>
        <v>6</v>
      </c>
      <c r="I141" s="311">
        <f>(H141/$H$181)/_xlfn.XLOOKUP('Scoring Summary'!$D$15,'Response Guidelines'!$D$91:$D$190,'Response Guidelines'!$C$91:$C$190,"",0,1)</f>
        <v>1.3636363636363636E-2</v>
      </c>
      <c r="J141" s="43"/>
      <c r="K141" s="42">
        <f>I141</f>
        <v>1.3636363636363636E-2</v>
      </c>
      <c r="L141" s="313"/>
      <c r="M141" s="694"/>
    </row>
    <row r="142" spans="1:13" s="29" customFormat="1" ht="18.649999999999999" customHeight="1" x14ac:dyDescent="0.35">
      <c r="A142" s="779"/>
      <c r="B142" s="781"/>
      <c r="C142" s="773"/>
      <c r="D142" s="759"/>
      <c r="E142" s="433"/>
      <c r="F142" s="384"/>
      <c r="G142" s="380"/>
      <c r="H142" s="310"/>
      <c r="I142" s="312"/>
      <c r="J142" s="39"/>
      <c r="K142" s="38">
        <v>5.0000000000000001E-3</v>
      </c>
      <c r="L142" s="304"/>
      <c r="M142" s="773"/>
    </row>
    <row r="143" spans="1:13" s="29" customFormat="1" ht="18.649999999999999" customHeight="1" x14ac:dyDescent="0.35">
      <c r="A143" s="779"/>
      <c r="B143" s="781"/>
      <c r="C143" s="773"/>
      <c r="D143" s="759"/>
      <c r="E143" s="433"/>
      <c r="F143" s="384"/>
      <c r="G143" s="380"/>
      <c r="H143" s="310"/>
      <c r="I143" s="312"/>
      <c r="J143" s="39"/>
      <c r="K143" s="38">
        <v>4.0000000000000001E-3</v>
      </c>
      <c r="L143" s="304"/>
      <c r="M143" s="773"/>
    </row>
    <row r="144" spans="1:13" s="29" customFormat="1" ht="18.649999999999999" customHeight="1" x14ac:dyDescent="0.35">
      <c r="A144" s="779"/>
      <c r="B144" s="781"/>
      <c r="C144" s="773"/>
      <c r="D144" s="759"/>
      <c r="E144" s="433"/>
      <c r="F144" s="384"/>
      <c r="G144" s="380"/>
      <c r="H144" s="310"/>
      <c r="I144" s="312"/>
      <c r="J144" s="39"/>
      <c r="K144" s="38">
        <v>3.0000000000000001E-3</v>
      </c>
      <c r="L144" s="304"/>
      <c r="M144" s="773"/>
    </row>
    <row r="145" spans="1:14" s="29" customFormat="1" ht="18.649999999999999" customHeight="1" x14ac:dyDescent="0.35">
      <c r="A145" s="802"/>
      <c r="B145" s="781"/>
      <c r="C145" s="773"/>
      <c r="D145" s="647"/>
      <c r="E145" s="649"/>
      <c r="F145" s="787"/>
      <c r="G145" s="788"/>
      <c r="H145" s="310"/>
      <c r="I145" s="312"/>
      <c r="J145" s="39"/>
      <c r="K145" s="38">
        <v>0</v>
      </c>
      <c r="L145" s="304"/>
      <c r="M145" s="773"/>
    </row>
    <row r="146" spans="1:14" s="29" customFormat="1" ht="11.15" customHeight="1" x14ac:dyDescent="0.35">
      <c r="A146" s="337">
        <v>28</v>
      </c>
      <c r="B146" s="781"/>
      <c r="C146" s="797"/>
      <c r="D146" s="800"/>
      <c r="E146" s="650"/>
      <c r="F146" s="383"/>
      <c r="G146" s="693" t="s">
        <v>37</v>
      </c>
      <c r="H146" s="343">
        <f>IF(G146='Response Guidelines'!$D$80,'Response Guidelines'!$C$80, IF(G146='Response Guidelines'!$D$81,'Response Guidelines'!$C$81,IF(G146='Response Guidelines'!$D$82,'Response Guidelines'!$C$82,IF(G146='Response Guidelines'!$D$83,'Response Guidelines'!$C$83,IF(G146='Response Guidelines'!$D$84,'Response Guidelines'!$C$84,IF(G146='Response Guidelines'!$D$85,'Response Guidelines'!$C$85,IF(G146='Response Guidelines'!$D$86,'Response Guidelines'!$C$86,"No Rating")))))))</f>
        <v>6</v>
      </c>
      <c r="I146" s="311">
        <f>(H146/$H$181)/_xlfn.XLOOKUP('Scoring Summary'!$D$15,'Response Guidelines'!$D$91:$D$190,'Response Guidelines'!$C$91:$C$190,"",0,1)</f>
        <v>1.3636363636363636E-2</v>
      </c>
      <c r="J146" s="39"/>
      <c r="K146" s="38">
        <f>I146</f>
        <v>1.3636363636363636E-2</v>
      </c>
      <c r="L146" s="304"/>
      <c r="M146" s="773"/>
    </row>
    <row r="147" spans="1:14" s="29" customFormat="1" ht="11.15" customHeight="1" x14ac:dyDescent="0.35">
      <c r="A147" s="337"/>
      <c r="B147" s="781"/>
      <c r="C147" s="798"/>
      <c r="D147" s="432"/>
      <c r="E147" s="433"/>
      <c r="F147" s="384"/>
      <c r="G147" s="380"/>
      <c r="H147" s="310"/>
      <c r="I147" s="312"/>
      <c r="J147" s="39"/>
      <c r="K147" s="38"/>
      <c r="L147" s="304"/>
      <c r="M147" s="773"/>
    </row>
    <row r="148" spans="1:14" s="29" customFormat="1" ht="11.15" customHeight="1" x14ac:dyDescent="0.35">
      <c r="A148" s="789"/>
      <c r="B148" s="790"/>
      <c r="C148" s="798"/>
      <c r="D148" s="432"/>
      <c r="E148" s="433"/>
      <c r="F148" s="384"/>
      <c r="G148" s="380"/>
      <c r="H148" s="310"/>
      <c r="I148" s="312"/>
      <c r="J148" s="41"/>
      <c r="K148" s="40"/>
      <c r="L148" s="508"/>
      <c r="M148" s="711"/>
    </row>
    <row r="149" spans="1:14" s="29" customFormat="1" ht="11.15" customHeight="1" x14ac:dyDescent="0.35">
      <c r="A149" s="789"/>
      <c r="B149" s="790"/>
      <c r="C149" s="798"/>
      <c r="D149" s="432"/>
      <c r="E149" s="433"/>
      <c r="F149" s="384"/>
      <c r="G149" s="380"/>
      <c r="H149" s="310"/>
      <c r="I149" s="312"/>
      <c r="J149" s="41"/>
      <c r="K149" s="40"/>
      <c r="L149" s="508"/>
      <c r="M149" s="711"/>
    </row>
    <row r="150" spans="1:14" s="29" customFormat="1" ht="11.15" customHeight="1" x14ac:dyDescent="0.35">
      <c r="A150" s="337"/>
      <c r="B150" s="781"/>
      <c r="C150" s="799"/>
      <c r="D150" s="801"/>
      <c r="E150" s="649"/>
      <c r="F150" s="787"/>
      <c r="G150" s="788"/>
      <c r="H150" s="310"/>
      <c r="I150" s="312"/>
      <c r="J150" s="39"/>
      <c r="K150" s="38">
        <v>0</v>
      </c>
      <c r="L150" s="304"/>
      <c r="M150" s="773"/>
    </row>
    <row r="151" spans="1:14" s="29" customFormat="1" ht="11.15" customHeight="1" x14ac:dyDescent="0.35">
      <c r="A151" s="337">
        <v>29</v>
      </c>
      <c r="B151" s="781"/>
      <c r="C151" s="797"/>
      <c r="D151" s="800"/>
      <c r="E151" s="650"/>
      <c r="F151" s="383"/>
      <c r="G151" s="693" t="s">
        <v>37</v>
      </c>
      <c r="H151" s="343">
        <f>IF(G151='Response Guidelines'!$D$80,'Response Guidelines'!$C$80, IF(G151='Response Guidelines'!$D$81,'Response Guidelines'!$C$81,IF(G151='Response Guidelines'!$D$82,'Response Guidelines'!$C$82,IF(G151='Response Guidelines'!$D$83,'Response Guidelines'!$C$83,IF(G151='Response Guidelines'!$D$84,'Response Guidelines'!$C$84,IF(G151='Response Guidelines'!$D$85,'Response Guidelines'!$C$85,IF(G151='Response Guidelines'!$D$86,'Response Guidelines'!$C$86,"No Rating")))))))</f>
        <v>6</v>
      </c>
      <c r="I151" s="311">
        <f>(H151/$H$181)/_xlfn.XLOOKUP('Scoring Summary'!$D$15,'Response Guidelines'!$D$91:$D$190,'Response Guidelines'!$C$91:$C$190,"",0,1)</f>
        <v>1.3636363636363636E-2</v>
      </c>
      <c r="J151" s="39"/>
      <c r="K151" s="38">
        <f>I151</f>
        <v>1.3636363636363636E-2</v>
      </c>
      <c r="L151" s="304"/>
      <c r="M151" s="773"/>
    </row>
    <row r="152" spans="1:14" s="29" customFormat="1" ht="11.15" customHeight="1" x14ac:dyDescent="0.35">
      <c r="A152" s="337"/>
      <c r="B152" s="781"/>
      <c r="C152" s="798"/>
      <c r="D152" s="432"/>
      <c r="E152" s="433"/>
      <c r="F152" s="384"/>
      <c r="G152" s="380"/>
      <c r="H152" s="310"/>
      <c r="I152" s="312"/>
      <c r="J152" s="39"/>
      <c r="K152" s="38"/>
      <c r="L152" s="304"/>
      <c r="M152" s="773"/>
    </row>
    <row r="153" spans="1:14" s="29" customFormat="1" ht="11.15" customHeight="1" x14ac:dyDescent="0.35">
      <c r="A153" s="789"/>
      <c r="B153" s="790"/>
      <c r="C153" s="798"/>
      <c r="D153" s="432"/>
      <c r="E153" s="433"/>
      <c r="F153" s="384"/>
      <c r="G153" s="380"/>
      <c r="H153" s="310"/>
      <c r="I153" s="312"/>
      <c r="J153" s="41"/>
      <c r="K153" s="40"/>
      <c r="L153" s="508"/>
      <c r="M153" s="711"/>
    </row>
    <row r="154" spans="1:14" s="29" customFormat="1" ht="11.15" customHeight="1" x14ac:dyDescent="0.35">
      <c r="A154" s="789"/>
      <c r="B154" s="790"/>
      <c r="C154" s="798"/>
      <c r="D154" s="432"/>
      <c r="E154" s="433"/>
      <c r="F154" s="384"/>
      <c r="G154" s="380"/>
      <c r="H154" s="310"/>
      <c r="I154" s="312"/>
      <c r="J154" s="41"/>
      <c r="K154" s="40"/>
      <c r="L154" s="508"/>
      <c r="M154" s="711"/>
    </row>
    <row r="155" spans="1:14" s="29" customFormat="1" ht="11.15" customHeight="1" x14ac:dyDescent="0.35">
      <c r="A155" s="337"/>
      <c r="B155" s="781"/>
      <c r="C155" s="799"/>
      <c r="D155" s="801"/>
      <c r="E155" s="649"/>
      <c r="F155" s="787"/>
      <c r="G155" s="788"/>
      <c r="H155" s="310"/>
      <c r="I155" s="312"/>
      <c r="J155" s="39"/>
      <c r="K155" s="38">
        <v>0</v>
      </c>
      <c r="L155" s="304"/>
      <c r="M155" s="773"/>
    </row>
    <row r="156" spans="1:14" s="29" customFormat="1" ht="11.15" customHeight="1" x14ac:dyDescent="0.35">
      <c r="A156" s="795">
        <v>30</v>
      </c>
      <c r="B156" s="781"/>
      <c r="C156" s="383"/>
      <c r="D156" s="648"/>
      <c r="E156" s="650"/>
      <c r="F156" s="383"/>
      <c r="G156" s="693" t="s">
        <v>37</v>
      </c>
      <c r="H156" s="343">
        <f>IF(G156='Response Guidelines'!$D$80,'Response Guidelines'!$C$80, IF(G156='Response Guidelines'!$D$81,'Response Guidelines'!$C$81,IF(G156='Response Guidelines'!$D$82,'Response Guidelines'!$C$82,IF(G156='Response Guidelines'!$D$83,'Response Guidelines'!$C$83,IF(G156='Response Guidelines'!$D$84,'Response Guidelines'!$C$84,IF(G156='Response Guidelines'!$D$85,'Response Guidelines'!$C$85,IF(G156='Response Guidelines'!$D$86,'Response Guidelines'!$C$86,"No Rating")))))))</f>
        <v>6</v>
      </c>
      <c r="I156" s="311">
        <f>(H156/$H$181)/_xlfn.XLOOKUP('Scoring Summary'!$D$15,'Response Guidelines'!$D$91:$D$190,'Response Guidelines'!$C$91:$C$190,"",0,1)</f>
        <v>1.3636363636363636E-2</v>
      </c>
      <c r="J156" s="39"/>
      <c r="K156" s="38">
        <f>I156</f>
        <v>1.3636363636363636E-2</v>
      </c>
      <c r="L156" s="508"/>
      <c r="M156" s="793"/>
      <c r="N156" s="65"/>
    </row>
    <row r="157" spans="1:14" s="29" customFormat="1" ht="11.15" customHeight="1" x14ac:dyDescent="0.35">
      <c r="A157" s="795"/>
      <c r="B157" s="781"/>
      <c r="C157" s="384"/>
      <c r="D157" s="759"/>
      <c r="E157" s="433"/>
      <c r="F157" s="384"/>
      <c r="G157" s="380"/>
      <c r="H157" s="310"/>
      <c r="I157" s="312"/>
      <c r="J157" s="39"/>
      <c r="K157" s="38"/>
      <c r="L157" s="487"/>
      <c r="M157" s="793"/>
      <c r="N157" s="65"/>
    </row>
    <row r="158" spans="1:14" s="29" customFormat="1" ht="11.15" customHeight="1" x14ac:dyDescent="0.35">
      <c r="A158" s="795"/>
      <c r="B158" s="781"/>
      <c r="C158" s="384"/>
      <c r="D158" s="759"/>
      <c r="E158" s="433"/>
      <c r="F158" s="384"/>
      <c r="G158" s="380"/>
      <c r="H158" s="310"/>
      <c r="I158" s="312"/>
      <c r="J158" s="39"/>
      <c r="K158" s="38"/>
      <c r="L158" s="487"/>
      <c r="M158" s="793"/>
      <c r="N158" s="65"/>
    </row>
    <row r="159" spans="1:14" s="29" customFormat="1" ht="11.15" customHeight="1" x14ac:dyDescent="0.35">
      <c r="A159" s="795"/>
      <c r="B159" s="781"/>
      <c r="C159" s="384"/>
      <c r="D159" s="759"/>
      <c r="E159" s="433"/>
      <c r="F159" s="384"/>
      <c r="G159" s="380"/>
      <c r="H159" s="310"/>
      <c r="I159" s="312"/>
      <c r="J159" s="39"/>
      <c r="K159" s="38"/>
      <c r="L159" s="487"/>
      <c r="M159" s="793"/>
      <c r="N159" s="65"/>
    </row>
    <row r="160" spans="1:14" s="29" customFormat="1" ht="11.15" customHeight="1" x14ac:dyDescent="0.35">
      <c r="A160" s="795"/>
      <c r="B160" s="781"/>
      <c r="C160" s="787"/>
      <c r="D160" s="647"/>
      <c r="E160" s="649"/>
      <c r="F160" s="787"/>
      <c r="G160" s="788"/>
      <c r="H160" s="310"/>
      <c r="I160" s="312"/>
      <c r="J160" s="39"/>
      <c r="K160" s="38">
        <v>0</v>
      </c>
      <c r="L160" s="313"/>
      <c r="M160" s="793"/>
      <c r="N160" s="65"/>
    </row>
    <row r="161" spans="1:14" s="29" customFormat="1" ht="10" x14ac:dyDescent="0.35">
      <c r="A161" s="794">
        <v>31</v>
      </c>
      <c r="B161" s="796"/>
      <c r="C161" s="314"/>
      <c r="D161" s="329"/>
      <c r="E161" s="332"/>
      <c r="F161" s="376"/>
      <c r="G161" s="693" t="s">
        <v>37</v>
      </c>
      <c r="H161" s="343">
        <f>IF(G161='Response Guidelines'!$D$80,'Response Guidelines'!$C$80, IF(G161='Response Guidelines'!$D$81,'Response Guidelines'!$C$81,IF(G161='Response Guidelines'!$D$82,'Response Guidelines'!$C$82,IF(G161='Response Guidelines'!$D$83,'Response Guidelines'!$C$83,IF(G161='Response Guidelines'!$D$84,'Response Guidelines'!$C$84,IF(G161='Response Guidelines'!$D$85,'Response Guidelines'!$C$85,IF(G161='Response Guidelines'!$D$86,'Response Guidelines'!$C$86,"No Rating")))))))</f>
        <v>6</v>
      </c>
      <c r="I161" s="311">
        <f>(H161/$H$181)/_xlfn.XLOOKUP('Scoring Summary'!$D$15,'Response Guidelines'!$D$91:$D$190,'Response Guidelines'!$C$91:$C$190,"",0,1)</f>
        <v>1.3636363636363636E-2</v>
      </c>
      <c r="J161" s="43"/>
      <c r="K161" s="42">
        <f>I161</f>
        <v>1.3636363636363636E-2</v>
      </c>
      <c r="L161" s="313"/>
      <c r="M161" s="791"/>
      <c r="N161" s="65"/>
    </row>
    <row r="162" spans="1:14" s="29" customFormat="1" ht="10" x14ac:dyDescent="0.35">
      <c r="A162" s="795"/>
      <c r="B162" s="338"/>
      <c r="C162" s="305"/>
      <c r="D162" s="329"/>
      <c r="E162" s="332"/>
      <c r="F162" s="376"/>
      <c r="G162" s="380"/>
      <c r="H162" s="310"/>
      <c r="I162" s="312"/>
      <c r="J162" s="39"/>
      <c r="K162" s="38">
        <v>1.2E-2</v>
      </c>
      <c r="L162" s="304"/>
      <c r="M162" s="792"/>
      <c r="N162" s="65"/>
    </row>
    <row r="163" spans="1:14" s="29" customFormat="1" ht="10" x14ac:dyDescent="0.35">
      <c r="A163" s="795"/>
      <c r="B163" s="338"/>
      <c r="C163" s="305"/>
      <c r="D163" s="329"/>
      <c r="E163" s="332"/>
      <c r="F163" s="376"/>
      <c r="G163" s="380"/>
      <c r="H163" s="310"/>
      <c r="I163" s="312"/>
      <c r="J163" s="45"/>
      <c r="K163" s="38">
        <v>0.01</v>
      </c>
      <c r="L163" s="304"/>
      <c r="M163" s="792"/>
      <c r="N163" s="65"/>
    </row>
    <row r="164" spans="1:14" s="29" customFormat="1" ht="10" x14ac:dyDescent="0.35">
      <c r="A164" s="795"/>
      <c r="B164" s="338"/>
      <c r="C164" s="305"/>
      <c r="D164" s="329"/>
      <c r="E164" s="332"/>
      <c r="F164" s="376"/>
      <c r="G164" s="380"/>
      <c r="H164" s="310"/>
      <c r="I164" s="312"/>
      <c r="J164" s="45"/>
      <c r="K164" s="38">
        <v>5.0000000000000001E-3</v>
      </c>
      <c r="L164" s="304"/>
      <c r="M164" s="792"/>
      <c r="N164" s="65"/>
    </row>
    <row r="165" spans="1:14" s="29" customFormat="1" ht="10" x14ac:dyDescent="0.35">
      <c r="A165" s="795"/>
      <c r="B165" s="338"/>
      <c r="C165" s="305"/>
      <c r="D165" s="330"/>
      <c r="E165" s="333"/>
      <c r="F165" s="388"/>
      <c r="G165" s="788"/>
      <c r="H165" s="310"/>
      <c r="I165" s="312"/>
      <c r="J165" s="39"/>
      <c r="K165" s="38">
        <v>0</v>
      </c>
      <c r="L165" s="304"/>
      <c r="M165" s="792"/>
      <c r="N165" s="65"/>
    </row>
    <row r="166" spans="1:14" s="29" customFormat="1" ht="10.4" customHeight="1" x14ac:dyDescent="0.35">
      <c r="A166" s="337">
        <v>32</v>
      </c>
      <c r="B166" s="781"/>
      <c r="C166" s="773"/>
      <c r="D166" s="648"/>
      <c r="E166" s="650"/>
      <c r="F166" s="383"/>
      <c r="G166" s="693" t="s">
        <v>37</v>
      </c>
      <c r="H166" s="343">
        <f>IF(G166='Response Guidelines'!$D$80,'Response Guidelines'!$C$80, IF(G166='Response Guidelines'!$D$81,'Response Guidelines'!$C$81,IF(G166='Response Guidelines'!$D$82,'Response Guidelines'!$C$82,IF(G166='Response Guidelines'!$D$83,'Response Guidelines'!$C$83,IF(G166='Response Guidelines'!$D$84,'Response Guidelines'!$C$84,IF(G166='Response Guidelines'!$D$85,'Response Guidelines'!$C$85,IF(G166='Response Guidelines'!$D$86,'Response Guidelines'!$C$86,"No Rating")))))))</f>
        <v>6</v>
      </c>
      <c r="I166" s="311">
        <f>(H166/$H$181)/_xlfn.XLOOKUP('Scoring Summary'!$D$15,'Response Guidelines'!$D$91:$D$190,'Response Guidelines'!$C$91:$C$190,"",0,1)</f>
        <v>1.3636363636363636E-2</v>
      </c>
      <c r="J166" s="39"/>
      <c r="K166" s="38">
        <f>I166</f>
        <v>1.3636363636363636E-2</v>
      </c>
      <c r="L166" s="304"/>
      <c r="M166" s="773"/>
    </row>
    <row r="167" spans="1:14" s="29" customFormat="1" ht="12.75" customHeight="1" x14ac:dyDescent="0.35">
      <c r="A167" s="337"/>
      <c r="B167" s="781"/>
      <c r="C167" s="773"/>
      <c r="D167" s="759"/>
      <c r="E167" s="433"/>
      <c r="F167" s="384"/>
      <c r="G167" s="380"/>
      <c r="H167" s="310"/>
      <c r="I167" s="312"/>
      <c r="J167" s="39"/>
      <c r="K167" s="38"/>
      <c r="L167" s="304"/>
      <c r="M167" s="773"/>
    </row>
    <row r="168" spans="1:14" s="29" customFormat="1" ht="12.75" customHeight="1" x14ac:dyDescent="0.35">
      <c r="A168" s="789"/>
      <c r="B168" s="790"/>
      <c r="C168" s="711"/>
      <c r="D168" s="759"/>
      <c r="E168" s="433"/>
      <c r="F168" s="384"/>
      <c r="G168" s="380"/>
      <c r="H168" s="310"/>
      <c r="I168" s="312"/>
      <c r="J168" s="44"/>
      <c r="K168" s="40">
        <v>3.0000000000000001E-3</v>
      </c>
      <c r="L168" s="508"/>
      <c r="M168" s="711"/>
    </row>
    <row r="169" spans="1:14" s="29" customFormat="1" ht="12.75" customHeight="1" x14ac:dyDescent="0.35">
      <c r="A169" s="789"/>
      <c r="B169" s="790"/>
      <c r="C169" s="711"/>
      <c r="D169" s="759"/>
      <c r="E169" s="433"/>
      <c r="F169" s="384"/>
      <c r="G169" s="380"/>
      <c r="H169" s="310"/>
      <c r="I169" s="312"/>
      <c r="J169" s="41"/>
      <c r="K169" s="40"/>
      <c r="L169" s="508"/>
      <c r="M169" s="711"/>
    </row>
    <row r="170" spans="1:14" s="29" customFormat="1" ht="11.15" customHeight="1" x14ac:dyDescent="0.35">
      <c r="A170" s="789"/>
      <c r="B170" s="781"/>
      <c r="C170" s="773"/>
      <c r="D170" s="647"/>
      <c r="E170" s="649"/>
      <c r="F170" s="787"/>
      <c r="G170" s="788"/>
      <c r="H170" s="310"/>
      <c r="I170" s="312"/>
      <c r="J170" s="39"/>
      <c r="K170" s="38">
        <v>0.05</v>
      </c>
      <c r="L170" s="304"/>
      <c r="M170" s="773"/>
    </row>
    <row r="171" spans="1:14" s="29" customFormat="1" ht="10.4" customHeight="1" x14ac:dyDescent="0.35">
      <c r="A171" s="337">
        <v>33</v>
      </c>
      <c r="B171" s="781"/>
      <c r="C171" s="773"/>
      <c r="D171" s="648"/>
      <c r="E171" s="650"/>
      <c r="F171" s="383"/>
      <c r="G171" s="693" t="s">
        <v>37</v>
      </c>
      <c r="H171" s="343">
        <f>IF(G171='Response Guidelines'!$D$80,'Response Guidelines'!$C$80, IF(G171='Response Guidelines'!$D$81,'Response Guidelines'!$C$81,IF(G171='Response Guidelines'!$D$82,'Response Guidelines'!$C$82,IF(G171='Response Guidelines'!$D$83,'Response Guidelines'!$C$83,IF(G171='Response Guidelines'!$D$84,'Response Guidelines'!$C$84,IF(G171='Response Guidelines'!$D$85,'Response Guidelines'!$C$85,IF(G171='Response Guidelines'!$D$86,'Response Guidelines'!$C$86,"No Rating")))))))</f>
        <v>6</v>
      </c>
      <c r="I171" s="311">
        <f>(H171/$H$181)/_xlfn.XLOOKUP('Scoring Summary'!$D$15,'Response Guidelines'!$D$91:$D$190,'Response Guidelines'!$C$91:$C$190,"",0,1)</f>
        <v>1.3636363636363636E-2</v>
      </c>
      <c r="J171" s="39"/>
      <c r="K171" s="38">
        <f>I171</f>
        <v>1.3636363636363636E-2</v>
      </c>
      <c r="L171" s="304"/>
      <c r="M171" s="773"/>
    </row>
    <row r="172" spans="1:14" s="29" customFormat="1" ht="12.75" customHeight="1" x14ac:dyDescent="0.35">
      <c r="A172" s="337"/>
      <c r="B172" s="781"/>
      <c r="C172" s="773"/>
      <c r="D172" s="759"/>
      <c r="E172" s="433"/>
      <c r="F172" s="384"/>
      <c r="G172" s="380"/>
      <c r="H172" s="310"/>
      <c r="I172" s="312"/>
      <c r="J172" s="39"/>
      <c r="L172" s="304"/>
      <c r="M172" s="773"/>
    </row>
    <row r="173" spans="1:14" s="29" customFormat="1" ht="12.75" customHeight="1" x14ac:dyDescent="0.35">
      <c r="A173" s="789"/>
      <c r="B173" s="790"/>
      <c r="C173" s="711"/>
      <c r="D173" s="759"/>
      <c r="E173" s="433"/>
      <c r="F173" s="384"/>
      <c r="G173" s="380"/>
      <c r="H173" s="310"/>
      <c r="I173" s="312"/>
      <c r="J173" s="44"/>
      <c r="K173" s="38">
        <v>3.0000000000000001E-3</v>
      </c>
      <c r="L173" s="508"/>
      <c r="M173" s="711"/>
    </row>
    <row r="174" spans="1:14" s="29" customFormat="1" ht="12.75" customHeight="1" x14ac:dyDescent="0.35">
      <c r="A174" s="789"/>
      <c r="B174" s="790"/>
      <c r="C174" s="711"/>
      <c r="D174" s="759"/>
      <c r="E174" s="433"/>
      <c r="F174" s="384"/>
      <c r="G174" s="380"/>
      <c r="H174" s="310"/>
      <c r="I174" s="312"/>
      <c r="J174" s="41"/>
      <c r="K174" s="40"/>
      <c r="L174" s="508"/>
      <c r="M174" s="711"/>
    </row>
    <row r="175" spans="1:14" s="29" customFormat="1" ht="11.15" customHeight="1" x14ac:dyDescent="0.35">
      <c r="A175" s="789"/>
      <c r="B175" s="781"/>
      <c r="C175" s="773"/>
      <c r="D175" s="647"/>
      <c r="E175" s="649"/>
      <c r="F175" s="787"/>
      <c r="G175" s="788"/>
      <c r="H175" s="310"/>
      <c r="I175" s="312"/>
      <c r="J175" s="39"/>
      <c r="K175" s="38">
        <v>0</v>
      </c>
      <c r="L175" s="304"/>
      <c r="M175" s="773"/>
    </row>
    <row r="176" spans="1:14" s="29" customFormat="1" ht="18.649999999999999" customHeight="1" x14ac:dyDescent="0.35">
      <c r="A176" s="778">
        <v>34</v>
      </c>
      <c r="B176" s="781"/>
      <c r="C176" s="773"/>
      <c r="D176" s="783"/>
      <c r="E176" s="650"/>
      <c r="F176" s="383"/>
      <c r="G176" s="693" t="s">
        <v>37</v>
      </c>
      <c r="H176" s="343">
        <f>IF(G176='Response Guidelines'!$D$80,'Response Guidelines'!$C$80, IF(G176='Response Guidelines'!$D$81,'Response Guidelines'!$C$81,IF(G176='Response Guidelines'!$D$82,'Response Guidelines'!$C$82,IF(G176='Response Guidelines'!$D$83,'Response Guidelines'!$C$83,IF(G176='Response Guidelines'!$D$84,'Response Guidelines'!$C$84,IF(G176='Response Guidelines'!$D$85,'Response Guidelines'!$C$85,IF(G176='Response Guidelines'!$D$86,'Response Guidelines'!$C$86,"No Rating")))))))</f>
        <v>6</v>
      </c>
      <c r="I176" s="312">
        <f>(H176/$H$181)/_xlfn.XLOOKUP('Scoring Summary'!$D$15,'Response Guidelines'!$D$91:$D$190,'Response Guidelines'!$C$91:$C$190,"",0,1)</f>
        <v>1.3636363636363636E-2</v>
      </c>
      <c r="J176" s="43"/>
      <c r="K176" s="42">
        <f>I176</f>
        <v>1.3636363636363636E-2</v>
      </c>
      <c r="L176" s="304"/>
      <c r="M176" s="773"/>
    </row>
    <row r="177" spans="1:13" s="29" customFormat="1" ht="18.649999999999999" customHeight="1" x14ac:dyDescent="0.35">
      <c r="A177" s="779"/>
      <c r="B177" s="781"/>
      <c r="C177" s="773"/>
      <c r="D177" s="759"/>
      <c r="E177" s="433"/>
      <c r="F177" s="384"/>
      <c r="G177" s="380"/>
      <c r="H177" s="310"/>
      <c r="I177" s="312"/>
      <c r="J177" s="39"/>
      <c r="K177" s="38">
        <v>5.0000000000000001E-3</v>
      </c>
      <c r="L177" s="304"/>
      <c r="M177" s="773"/>
    </row>
    <row r="178" spans="1:13" s="29" customFormat="1" ht="18.649999999999999" customHeight="1" x14ac:dyDescent="0.35">
      <c r="A178" s="779"/>
      <c r="B178" s="781"/>
      <c r="C178" s="773"/>
      <c r="D178" s="759"/>
      <c r="E178" s="433"/>
      <c r="F178" s="384"/>
      <c r="G178" s="380"/>
      <c r="H178" s="310"/>
      <c r="I178" s="312"/>
      <c r="J178" s="39"/>
      <c r="K178" s="38">
        <v>4.0000000000000001E-3</v>
      </c>
      <c r="L178" s="304"/>
      <c r="M178" s="773"/>
    </row>
    <row r="179" spans="1:13" s="29" customFormat="1" ht="18.649999999999999" customHeight="1" x14ac:dyDescent="0.35">
      <c r="A179" s="779"/>
      <c r="B179" s="781"/>
      <c r="C179" s="773"/>
      <c r="D179" s="759"/>
      <c r="E179" s="433"/>
      <c r="F179" s="384"/>
      <c r="G179" s="380"/>
      <c r="H179" s="310"/>
      <c r="I179" s="312"/>
      <c r="J179" s="39"/>
      <c r="K179" s="38">
        <v>3.0000000000000001E-3</v>
      </c>
      <c r="L179" s="304"/>
      <c r="M179" s="773"/>
    </row>
    <row r="180" spans="1:13" s="29" customFormat="1" ht="18.649999999999999" customHeight="1" thickBot="1" x14ac:dyDescent="0.4">
      <c r="A180" s="780"/>
      <c r="B180" s="782"/>
      <c r="C180" s="777"/>
      <c r="D180" s="784"/>
      <c r="E180" s="785"/>
      <c r="F180" s="786"/>
      <c r="G180" s="775"/>
      <c r="H180" s="310"/>
      <c r="I180" s="776"/>
      <c r="J180" s="37"/>
      <c r="K180" s="36">
        <v>0</v>
      </c>
      <c r="L180" s="637"/>
      <c r="M180" s="777"/>
    </row>
    <row r="181" spans="1:13" s="29" customFormat="1" ht="16.399999999999999" customHeight="1" thickBot="1" x14ac:dyDescent="0.4">
      <c r="A181" s="35"/>
      <c r="B181" s="34" t="s">
        <v>43</v>
      </c>
      <c r="C181" s="34"/>
      <c r="D181" s="34"/>
      <c r="E181" s="34"/>
      <c r="F181" s="34"/>
      <c r="G181" s="34"/>
      <c r="H181" s="72">
        <f>SUM(H16:H180)</f>
        <v>198</v>
      </c>
      <c r="I181" s="32">
        <f>SUM(I16:I180)</f>
        <v>0.44999999999999973</v>
      </c>
      <c r="J181" s="302" t="s">
        <v>44</v>
      </c>
      <c r="K181" s="303"/>
      <c r="L181" s="71">
        <f>SUM(L16:L180)</f>
        <v>0</v>
      </c>
      <c r="M181" s="30"/>
    </row>
  </sheetData>
  <mergeCells count="368">
    <mergeCell ref="A21:A25"/>
    <mergeCell ref="B21:B25"/>
    <mergeCell ref="C21:C25"/>
    <mergeCell ref="D21:D25"/>
    <mergeCell ref="E21:E25"/>
    <mergeCell ref="E2:G3"/>
    <mergeCell ref="A14:A15"/>
    <mergeCell ref="B14:C14"/>
    <mergeCell ref="D14:F14"/>
    <mergeCell ref="A16:A20"/>
    <mergeCell ref="B16:B20"/>
    <mergeCell ref="C16:C20"/>
    <mergeCell ref="D16:D20"/>
    <mergeCell ref="E16:E20"/>
    <mergeCell ref="F16:F20"/>
    <mergeCell ref="F21:F25"/>
    <mergeCell ref="G21:G25"/>
    <mergeCell ref="H21:H25"/>
    <mergeCell ref="I21:I25"/>
    <mergeCell ref="L21:L25"/>
    <mergeCell ref="M21:M25"/>
    <mergeCell ref="G16:G20"/>
    <mergeCell ref="H16:H20"/>
    <mergeCell ref="I16:I20"/>
    <mergeCell ref="L16:L20"/>
    <mergeCell ref="M16:M20"/>
    <mergeCell ref="A31:A35"/>
    <mergeCell ref="B31:B35"/>
    <mergeCell ref="C31:C35"/>
    <mergeCell ref="D31:D35"/>
    <mergeCell ref="E31:E35"/>
    <mergeCell ref="A26:A30"/>
    <mergeCell ref="B26:B30"/>
    <mergeCell ref="C26:C30"/>
    <mergeCell ref="D26:D30"/>
    <mergeCell ref="E26:E30"/>
    <mergeCell ref="F31:F35"/>
    <mergeCell ref="G31:G35"/>
    <mergeCell ref="H31:H35"/>
    <mergeCell ref="I31:I35"/>
    <mergeCell ref="L31:L35"/>
    <mergeCell ref="M31:M35"/>
    <mergeCell ref="G26:G30"/>
    <mergeCell ref="H26:H30"/>
    <mergeCell ref="I26:I30"/>
    <mergeCell ref="L26:L30"/>
    <mergeCell ref="M26:M30"/>
    <mergeCell ref="F26:F30"/>
    <mergeCell ref="A41:A45"/>
    <mergeCell ref="B41:B45"/>
    <mergeCell ref="C41:C45"/>
    <mergeCell ref="D41:D45"/>
    <mergeCell ref="E41:E45"/>
    <mergeCell ref="A36:A40"/>
    <mergeCell ref="B36:B40"/>
    <mergeCell ref="C36:C40"/>
    <mergeCell ref="D36:D40"/>
    <mergeCell ref="E36:E40"/>
    <mergeCell ref="F41:F45"/>
    <mergeCell ref="G41:G45"/>
    <mergeCell ref="H41:H45"/>
    <mergeCell ref="I41:I45"/>
    <mergeCell ref="L41:L45"/>
    <mergeCell ref="M41:M45"/>
    <mergeCell ref="G36:G40"/>
    <mergeCell ref="H36:H40"/>
    <mergeCell ref="I36:I40"/>
    <mergeCell ref="L36:L40"/>
    <mergeCell ref="M36:M40"/>
    <mergeCell ref="F36:F40"/>
    <mergeCell ref="A51:A55"/>
    <mergeCell ref="B51:B55"/>
    <mergeCell ref="C51:C55"/>
    <mergeCell ref="D51:D55"/>
    <mergeCell ref="E51:E55"/>
    <mergeCell ref="A46:A50"/>
    <mergeCell ref="B46:B50"/>
    <mergeCell ref="C46:C50"/>
    <mergeCell ref="D46:D50"/>
    <mergeCell ref="E46:E50"/>
    <mergeCell ref="F51:F55"/>
    <mergeCell ref="G51:G55"/>
    <mergeCell ref="H51:H55"/>
    <mergeCell ref="I51:I55"/>
    <mergeCell ref="L51:L55"/>
    <mergeCell ref="M51:M55"/>
    <mergeCell ref="G46:G50"/>
    <mergeCell ref="H46:H50"/>
    <mergeCell ref="I46:I50"/>
    <mergeCell ref="L46:L50"/>
    <mergeCell ref="M46:M50"/>
    <mergeCell ref="F46:F50"/>
    <mergeCell ref="A61:A65"/>
    <mergeCell ref="B61:B65"/>
    <mergeCell ref="C61:C65"/>
    <mergeCell ref="D61:D65"/>
    <mergeCell ref="E61:E65"/>
    <mergeCell ref="A56:A60"/>
    <mergeCell ref="B56:B60"/>
    <mergeCell ref="C56:C60"/>
    <mergeCell ref="D56:D60"/>
    <mergeCell ref="E56:E60"/>
    <mergeCell ref="F61:F65"/>
    <mergeCell ref="G61:G65"/>
    <mergeCell ref="H61:H65"/>
    <mergeCell ref="I61:I65"/>
    <mergeCell ref="L61:L65"/>
    <mergeCell ref="M61:M65"/>
    <mergeCell ref="G56:G60"/>
    <mergeCell ref="H56:H60"/>
    <mergeCell ref="I56:I60"/>
    <mergeCell ref="L56:L60"/>
    <mergeCell ref="M56:M60"/>
    <mergeCell ref="F56:F60"/>
    <mergeCell ref="A71:A75"/>
    <mergeCell ref="B71:B75"/>
    <mergeCell ref="C71:C75"/>
    <mergeCell ref="D71:D75"/>
    <mergeCell ref="E71:E75"/>
    <mergeCell ref="A66:A70"/>
    <mergeCell ref="B66:B70"/>
    <mergeCell ref="C66:C70"/>
    <mergeCell ref="D66:D70"/>
    <mergeCell ref="E66:E70"/>
    <mergeCell ref="F71:F75"/>
    <mergeCell ref="G71:G75"/>
    <mergeCell ref="H71:H75"/>
    <mergeCell ref="I71:I75"/>
    <mergeCell ref="L71:L75"/>
    <mergeCell ref="M71:M75"/>
    <mergeCell ref="G66:G70"/>
    <mergeCell ref="H66:H70"/>
    <mergeCell ref="I66:I70"/>
    <mergeCell ref="L66:L70"/>
    <mergeCell ref="M66:M70"/>
    <mergeCell ref="F66:F70"/>
    <mergeCell ref="A81:A85"/>
    <mergeCell ref="B81:B85"/>
    <mergeCell ref="C81:C85"/>
    <mergeCell ref="D81:D85"/>
    <mergeCell ref="E81:E85"/>
    <mergeCell ref="A76:A80"/>
    <mergeCell ref="B76:B80"/>
    <mergeCell ref="C76:C80"/>
    <mergeCell ref="D76:D80"/>
    <mergeCell ref="E76:E80"/>
    <mergeCell ref="F81:F85"/>
    <mergeCell ref="G81:G85"/>
    <mergeCell ref="H81:H85"/>
    <mergeCell ref="I81:I85"/>
    <mergeCell ref="L81:L85"/>
    <mergeCell ref="M81:M85"/>
    <mergeCell ref="G76:G80"/>
    <mergeCell ref="H76:H80"/>
    <mergeCell ref="I76:I80"/>
    <mergeCell ref="L76:L80"/>
    <mergeCell ref="M76:M80"/>
    <mergeCell ref="F76:F80"/>
    <mergeCell ref="A91:A95"/>
    <mergeCell ref="B91:B95"/>
    <mergeCell ref="C91:C95"/>
    <mergeCell ref="D91:D95"/>
    <mergeCell ref="E91:E95"/>
    <mergeCell ref="A86:A90"/>
    <mergeCell ref="B86:B90"/>
    <mergeCell ref="C86:C90"/>
    <mergeCell ref="D86:D90"/>
    <mergeCell ref="E86:E90"/>
    <mergeCell ref="F91:F95"/>
    <mergeCell ref="G91:G95"/>
    <mergeCell ref="H91:H95"/>
    <mergeCell ref="I91:I95"/>
    <mergeCell ref="L91:L95"/>
    <mergeCell ref="M91:M95"/>
    <mergeCell ref="G86:G90"/>
    <mergeCell ref="H86:H90"/>
    <mergeCell ref="I86:I90"/>
    <mergeCell ref="L86:L90"/>
    <mergeCell ref="M86:M90"/>
    <mergeCell ref="F86:F90"/>
    <mergeCell ref="A101:A105"/>
    <mergeCell ref="B101:B105"/>
    <mergeCell ref="C101:C105"/>
    <mergeCell ref="D101:D105"/>
    <mergeCell ref="E101:E105"/>
    <mergeCell ref="A96:A100"/>
    <mergeCell ref="B96:B100"/>
    <mergeCell ref="C96:C100"/>
    <mergeCell ref="D96:D100"/>
    <mergeCell ref="E96:E100"/>
    <mergeCell ref="F101:F105"/>
    <mergeCell ref="G101:G105"/>
    <mergeCell ref="H101:H105"/>
    <mergeCell ref="I101:I105"/>
    <mergeCell ref="L101:L105"/>
    <mergeCell ref="M101:M105"/>
    <mergeCell ref="G96:G100"/>
    <mergeCell ref="H96:H100"/>
    <mergeCell ref="I96:I100"/>
    <mergeCell ref="L96:L100"/>
    <mergeCell ref="M96:M100"/>
    <mergeCell ref="F96:F100"/>
    <mergeCell ref="A111:A115"/>
    <mergeCell ref="B111:B115"/>
    <mergeCell ref="C111:C115"/>
    <mergeCell ref="D111:D115"/>
    <mergeCell ref="E111:E115"/>
    <mergeCell ref="A106:A110"/>
    <mergeCell ref="B106:B110"/>
    <mergeCell ref="C106:C110"/>
    <mergeCell ref="D106:D110"/>
    <mergeCell ref="E106:E110"/>
    <mergeCell ref="F111:F115"/>
    <mergeCell ref="G111:G115"/>
    <mergeCell ref="H111:H115"/>
    <mergeCell ref="I111:I115"/>
    <mergeCell ref="L111:L115"/>
    <mergeCell ref="M111:M115"/>
    <mergeCell ref="G106:G110"/>
    <mergeCell ref="H106:H110"/>
    <mergeCell ref="I106:I110"/>
    <mergeCell ref="L106:L110"/>
    <mergeCell ref="M106:M110"/>
    <mergeCell ref="F106:F110"/>
    <mergeCell ref="A121:A125"/>
    <mergeCell ref="B121:B125"/>
    <mergeCell ref="C121:C125"/>
    <mergeCell ref="D121:D125"/>
    <mergeCell ref="E121:E125"/>
    <mergeCell ref="A116:A120"/>
    <mergeCell ref="B116:B120"/>
    <mergeCell ref="C116:C120"/>
    <mergeCell ref="D116:D120"/>
    <mergeCell ref="E116:E120"/>
    <mergeCell ref="F121:F125"/>
    <mergeCell ref="G121:G125"/>
    <mergeCell ref="H121:H125"/>
    <mergeCell ref="I121:I125"/>
    <mergeCell ref="L121:L125"/>
    <mergeCell ref="M121:M125"/>
    <mergeCell ref="G116:G120"/>
    <mergeCell ref="H116:H120"/>
    <mergeCell ref="I116:I120"/>
    <mergeCell ref="L116:L120"/>
    <mergeCell ref="M116:M120"/>
    <mergeCell ref="F116:F120"/>
    <mergeCell ref="A131:A135"/>
    <mergeCell ref="B131:B135"/>
    <mergeCell ref="C131:C135"/>
    <mergeCell ref="D131:D135"/>
    <mergeCell ref="E131:E135"/>
    <mergeCell ref="A126:A130"/>
    <mergeCell ref="B126:B130"/>
    <mergeCell ref="C126:C130"/>
    <mergeCell ref="D126:D130"/>
    <mergeCell ref="E126:E130"/>
    <mergeCell ref="F131:F135"/>
    <mergeCell ref="G131:G135"/>
    <mergeCell ref="H131:H135"/>
    <mergeCell ref="I131:I135"/>
    <mergeCell ref="L131:L135"/>
    <mergeCell ref="M131:M135"/>
    <mergeCell ref="G126:G130"/>
    <mergeCell ref="H126:H130"/>
    <mergeCell ref="I126:I130"/>
    <mergeCell ref="L126:L130"/>
    <mergeCell ref="M126:M130"/>
    <mergeCell ref="F126:F130"/>
    <mergeCell ref="A141:A145"/>
    <mergeCell ref="B141:B145"/>
    <mergeCell ref="C141:C145"/>
    <mergeCell ref="D141:D145"/>
    <mergeCell ref="E141:E145"/>
    <mergeCell ref="A136:A140"/>
    <mergeCell ref="B136:B140"/>
    <mergeCell ref="C136:C140"/>
    <mergeCell ref="D136:D140"/>
    <mergeCell ref="E136:E140"/>
    <mergeCell ref="F141:F145"/>
    <mergeCell ref="G141:G145"/>
    <mergeCell ref="H141:H145"/>
    <mergeCell ref="I141:I145"/>
    <mergeCell ref="L141:L145"/>
    <mergeCell ref="M141:M145"/>
    <mergeCell ref="G136:G140"/>
    <mergeCell ref="H136:H140"/>
    <mergeCell ref="I136:I140"/>
    <mergeCell ref="L136:L140"/>
    <mergeCell ref="M136:M140"/>
    <mergeCell ref="F136:F140"/>
    <mergeCell ref="A151:A155"/>
    <mergeCell ref="B151:B155"/>
    <mergeCell ref="C151:C155"/>
    <mergeCell ref="D151:D155"/>
    <mergeCell ref="E151:E155"/>
    <mergeCell ref="A146:A150"/>
    <mergeCell ref="B146:B150"/>
    <mergeCell ref="C146:C150"/>
    <mergeCell ref="D146:D150"/>
    <mergeCell ref="E146:E150"/>
    <mergeCell ref="F151:F155"/>
    <mergeCell ref="G151:G155"/>
    <mergeCell ref="H151:H155"/>
    <mergeCell ref="I151:I155"/>
    <mergeCell ref="L151:L155"/>
    <mergeCell ref="M151:M155"/>
    <mergeCell ref="G146:G150"/>
    <mergeCell ref="H146:H150"/>
    <mergeCell ref="I146:I150"/>
    <mergeCell ref="L146:L150"/>
    <mergeCell ref="M146:M150"/>
    <mergeCell ref="F146:F150"/>
    <mergeCell ref="A161:A165"/>
    <mergeCell ref="B161:B165"/>
    <mergeCell ref="C161:C165"/>
    <mergeCell ref="D161:D165"/>
    <mergeCell ref="E161:E165"/>
    <mergeCell ref="A156:A160"/>
    <mergeCell ref="B156:B160"/>
    <mergeCell ref="C156:C160"/>
    <mergeCell ref="D156:D160"/>
    <mergeCell ref="E156:E160"/>
    <mergeCell ref="F161:F165"/>
    <mergeCell ref="G161:G165"/>
    <mergeCell ref="H161:H165"/>
    <mergeCell ref="I161:I165"/>
    <mergeCell ref="L161:L165"/>
    <mergeCell ref="M161:M165"/>
    <mergeCell ref="G156:G160"/>
    <mergeCell ref="H156:H160"/>
    <mergeCell ref="I156:I160"/>
    <mergeCell ref="L156:L160"/>
    <mergeCell ref="M156:M160"/>
    <mergeCell ref="F156:F160"/>
    <mergeCell ref="A171:A175"/>
    <mergeCell ref="B171:B175"/>
    <mergeCell ref="C171:C175"/>
    <mergeCell ref="D171:D175"/>
    <mergeCell ref="E171:E175"/>
    <mergeCell ref="A166:A170"/>
    <mergeCell ref="B166:B170"/>
    <mergeCell ref="C166:C170"/>
    <mergeCell ref="D166:D170"/>
    <mergeCell ref="E166:E170"/>
    <mergeCell ref="F171:F175"/>
    <mergeCell ref="G171:G175"/>
    <mergeCell ref="H171:H175"/>
    <mergeCell ref="I171:I175"/>
    <mergeCell ref="L171:L175"/>
    <mergeCell ref="M171:M175"/>
    <mergeCell ref="G166:G170"/>
    <mergeCell ref="H166:H170"/>
    <mergeCell ref="I166:I170"/>
    <mergeCell ref="L166:L170"/>
    <mergeCell ref="M166:M170"/>
    <mergeCell ref="F166:F170"/>
    <mergeCell ref="G176:G180"/>
    <mergeCell ref="H176:H180"/>
    <mergeCell ref="I176:I180"/>
    <mergeCell ref="L176:L180"/>
    <mergeCell ref="M176:M180"/>
    <mergeCell ref="J181:K181"/>
    <mergeCell ref="A176:A180"/>
    <mergeCell ref="B176:B180"/>
    <mergeCell ref="C176:C180"/>
    <mergeCell ref="D176:D180"/>
    <mergeCell ref="E176:E180"/>
    <mergeCell ref="F176:F180"/>
  </mergeCells>
  <dataValidations count="33">
    <dataValidation type="list" allowBlank="1" showInputMessage="1" showErrorMessage="1" sqref="D176:D180" xr:uid="{00000000-0002-0000-0600-000000000000}">
      <formula1>$J$176:$J$180</formula1>
    </dataValidation>
    <dataValidation type="list" allowBlank="1" showInputMessage="1" showErrorMessage="1" sqref="D171:D175" xr:uid="{00000000-0002-0000-0600-000001000000}">
      <formula1>$J$171:$J$175</formula1>
    </dataValidation>
    <dataValidation type="list" allowBlank="1" showInputMessage="1" showErrorMessage="1" sqref="D166:D170" xr:uid="{00000000-0002-0000-0600-000002000000}">
      <formula1>$J$166:$J$170</formula1>
    </dataValidation>
    <dataValidation type="list" allowBlank="1" showInputMessage="1" showErrorMessage="1" sqref="D161:D165" xr:uid="{00000000-0002-0000-0600-000003000000}">
      <formula1>$J$161:$J$165</formula1>
    </dataValidation>
    <dataValidation type="list" allowBlank="1" showInputMessage="1" showErrorMessage="1" sqref="D156:D160" xr:uid="{00000000-0002-0000-0600-000004000000}">
      <formula1>$J$156:$J$160</formula1>
    </dataValidation>
    <dataValidation type="list" allowBlank="1" showInputMessage="1" showErrorMessage="1" sqref="D151:D155" xr:uid="{00000000-0002-0000-0600-000005000000}">
      <formula1>$J$151:$J$155</formula1>
    </dataValidation>
    <dataValidation type="list" allowBlank="1" showInputMessage="1" showErrorMessage="1" sqref="D146:D150" xr:uid="{00000000-0002-0000-0600-000006000000}">
      <formula1>$J$146:$J$150</formula1>
    </dataValidation>
    <dataValidation type="list" allowBlank="1" showInputMessage="1" showErrorMessage="1" sqref="D141:D145" xr:uid="{00000000-0002-0000-0600-000007000000}">
      <formula1>$J$141:$J$145</formula1>
    </dataValidation>
    <dataValidation type="list" allowBlank="1" showInputMessage="1" showErrorMessage="1" sqref="D136:D140" xr:uid="{00000000-0002-0000-0600-000008000000}">
      <formula1>$J$136:$J$140</formula1>
    </dataValidation>
    <dataValidation type="list" allowBlank="1" showInputMessage="1" showErrorMessage="1" sqref="D131:D135" xr:uid="{00000000-0002-0000-0600-000009000000}">
      <formula1>$J$131:$J$135</formula1>
    </dataValidation>
    <dataValidation type="list" allowBlank="1" showInputMessage="1" showErrorMessage="1" sqref="D126:D130" xr:uid="{00000000-0002-0000-0600-00000A000000}">
      <formula1>$J$126:$J$130</formula1>
    </dataValidation>
    <dataValidation type="list" allowBlank="1" showInputMessage="1" showErrorMessage="1" sqref="D121:D125" xr:uid="{00000000-0002-0000-0600-00000B000000}">
      <formula1>$J$121:$J$125</formula1>
    </dataValidation>
    <dataValidation type="list" allowBlank="1" showInputMessage="1" showErrorMessage="1" sqref="D116:D120" xr:uid="{00000000-0002-0000-0600-00000C000000}">
      <formula1>$J$116:$J$120</formula1>
    </dataValidation>
    <dataValidation type="list" allowBlank="1" showInputMessage="1" showErrorMessage="1" sqref="D111:D115" xr:uid="{00000000-0002-0000-0600-00000D000000}">
      <formula1>$J$111:$J$115</formula1>
    </dataValidation>
    <dataValidation type="list" allowBlank="1" showInputMessage="1" showErrorMessage="1" sqref="D106:D110" xr:uid="{00000000-0002-0000-0600-00000E000000}">
      <formula1>$J$106:$J$110</formula1>
    </dataValidation>
    <dataValidation type="list" allowBlank="1" showInputMessage="1" showErrorMessage="1" sqref="D101:D105" xr:uid="{00000000-0002-0000-0600-00000F000000}">
      <formula1>$J$101:$J$105</formula1>
    </dataValidation>
    <dataValidation type="list" allowBlank="1" showInputMessage="1" showErrorMessage="1" sqref="D96:D100" xr:uid="{00000000-0002-0000-0600-000010000000}">
      <formula1>$J$96:$J$100</formula1>
    </dataValidation>
    <dataValidation type="list" allowBlank="1" showInputMessage="1" showErrorMessage="1" sqref="D91:D95" xr:uid="{00000000-0002-0000-0600-000011000000}">
      <formula1>$J$91:$J$95</formula1>
    </dataValidation>
    <dataValidation type="list" allowBlank="1" showInputMessage="1" showErrorMessage="1" sqref="D86:D90" xr:uid="{00000000-0002-0000-0600-000012000000}">
      <formula1>$J$86:$J$90</formula1>
    </dataValidation>
    <dataValidation type="list" allowBlank="1" showInputMessage="1" showErrorMessage="1" sqref="D81:D85" xr:uid="{00000000-0002-0000-0600-000013000000}">
      <formula1>$J$81:$J$85</formula1>
    </dataValidation>
    <dataValidation type="list" allowBlank="1" showInputMessage="1" showErrorMessage="1" sqref="D76:D80" xr:uid="{00000000-0002-0000-0600-000014000000}">
      <formula1>$J$76:$J$80</formula1>
    </dataValidation>
    <dataValidation type="list" allowBlank="1" showInputMessage="1" showErrorMessage="1" sqref="D71:D75" xr:uid="{00000000-0002-0000-0600-000015000000}">
      <formula1>$J$71:$J$75</formula1>
    </dataValidation>
    <dataValidation type="list" allowBlank="1" showInputMessage="1" showErrorMessage="1" sqref="D66:D70" xr:uid="{00000000-0002-0000-0600-000016000000}">
      <formula1>$J$66:$J$70</formula1>
    </dataValidation>
    <dataValidation type="list" allowBlank="1" showInputMessage="1" showErrorMessage="1" sqref="D61:D65" xr:uid="{00000000-0002-0000-0600-000017000000}">
      <formula1>$J$61:$J$65</formula1>
    </dataValidation>
    <dataValidation type="list" allowBlank="1" showInputMessage="1" showErrorMessage="1" sqref="D56:D60" xr:uid="{00000000-0002-0000-0600-000018000000}">
      <formula1>$J$56:$J$60</formula1>
    </dataValidation>
    <dataValidation type="list" allowBlank="1" showInputMessage="1" showErrorMessage="1" sqref="D51:D55" xr:uid="{00000000-0002-0000-0600-000019000000}">
      <formula1>$J$51:$J$55</formula1>
    </dataValidation>
    <dataValidation type="list" allowBlank="1" showInputMessage="1" showErrorMessage="1" sqref="D46:D50" xr:uid="{00000000-0002-0000-0600-00001A000000}">
      <formula1>$J$46:$J$50</formula1>
    </dataValidation>
    <dataValidation type="list" allowBlank="1" showInputMessage="1" showErrorMessage="1" sqref="D41:D45" xr:uid="{00000000-0002-0000-0600-00001B000000}">
      <formula1>$J$41:$J$45</formula1>
    </dataValidation>
    <dataValidation type="list" allowBlank="1" showInputMessage="1" showErrorMessage="1" sqref="D36:D40" xr:uid="{00000000-0002-0000-0600-00001C000000}">
      <formula1>$J$36:$J$40</formula1>
    </dataValidation>
    <dataValidation type="list" allowBlank="1" showInputMessage="1" showErrorMessage="1" sqref="D31:D35" xr:uid="{00000000-0002-0000-0600-00001D000000}">
      <formula1>$J$31:$J$35</formula1>
    </dataValidation>
    <dataValidation type="list" allowBlank="1" showInputMessage="1" showErrorMessage="1" sqref="D26:D30" xr:uid="{00000000-0002-0000-0600-00001E000000}">
      <formula1>$J$26:$J$30</formula1>
    </dataValidation>
    <dataValidation type="list" allowBlank="1" showInputMessage="1" showErrorMessage="1" sqref="D21:D25" xr:uid="{00000000-0002-0000-0600-00001F000000}">
      <formula1>$J$21:$J$25</formula1>
    </dataValidation>
    <dataValidation type="list" allowBlank="1" showInputMessage="1" showErrorMessage="1" sqref="D16:D20" xr:uid="{00000000-0002-0000-0600-000020000000}">
      <formula1>$J$16:$J$20</formula1>
    </dataValidation>
  </dataValidations>
  <pageMargins left="0.25" right="0.25" top="0.75" bottom="0.75" header="0.3" footer="0.3"/>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21000000}">
          <x14:formula1>
            <xm:f>'Response Guidelines'!$D$80:$D$86</xm:f>
          </x14:formula1>
          <xm:sqref>G16:G180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0D22-19ED-496E-BBEE-27525D288B76}">
  <dimension ref="A1:M39"/>
  <sheetViews>
    <sheetView zoomScale="80" zoomScaleNormal="80" workbookViewId="0">
      <selection activeCell="C49" sqref="C49"/>
    </sheetView>
  </sheetViews>
  <sheetFormatPr defaultColWidth="9.1796875" defaultRowHeight="10.5" x14ac:dyDescent="0.25"/>
  <cols>
    <col min="1" max="1" width="3.1796875" style="19" bestFit="1" customWidth="1"/>
    <col min="2" max="2" width="43.1796875" style="18" customWidth="1"/>
    <col min="3" max="3" width="34.81640625" style="18" customWidth="1"/>
    <col min="4" max="4" width="10.453125" style="18" customWidth="1"/>
    <col min="5" max="5" width="10.54296875" style="18" customWidth="1"/>
    <col min="6" max="6" width="9.453125" style="18" customWidth="1"/>
    <col min="7" max="7" width="11.1796875" style="18" customWidth="1"/>
    <col min="8" max="8" width="7.54296875" style="18" customWidth="1"/>
    <col min="9" max="9" width="7.1796875" style="17" customWidth="1"/>
    <col min="10" max="10" width="20.81640625" style="16" customWidth="1"/>
    <col min="11" max="11" width="5.1796875" style="15" customWidth="1"/>
    <col min="12" max="12" width="5.453125" style="13" customWidth="1"/>
    <col min="13" max="13" width="40.453125" style="14" customWidth="1"/>
    <col min="14" max="14" width="8.54296875" style="13" customWidth="1"/>
    <col min="15" max="16384" width="9.1796875" style="13"/>
  </cols>
  <sheetData>
    <row r="1" spans="1:13" x14ac:dyDescent="0.25">
      <c r="B1" s="64"/>
      <c r="C1" s="64"/>
      <c r="D1" s="64"/>
      <c r="E1" s="64"/>
      <c r="F1" s="64"/>
      <c r="G1" s="64"/>
      <c r="H1" s="64"/>
    </row>
    <row r="2" spans="1:13" ht="15.5" x14ac:dyDescent="0.35">
      <c r="B2" s="11" t="s">
        <v>77</v>
      </c>
      <c r="C2" s="12" t="str">
        <f>'Scoring Summary'!C2</f>
        <v>&lt;insert before tender publication&gt;</v>
      </c>
      <c r="D2" s="26"/>
      <c r="E2" s="374" t="s">
        <v>382</v>
      </c>
      <c r="F2" s="374"/>
      <c r="G2" s="374"/>
      <c r="H2" s="26"/>
      <c r="I2" s="26"/>
      <c r="J2" s="26"/>
      <c r="K2" s="26"/>
      <c r="L2" s="26"/>
      <c r="M2" s="26"/>
    </row>
    <row r="3" spans="1:13" ht="15.5" x14ac:dyDescent="0.35">
      <c r="B3" s="11" t="s">
        <v>80</v>
      </c>
      <c r="C3" s="12" t="str">
        <f>'Scoring Summary'!C3</f>
        <v>Feeder Balancing Module</v>
      </c>
      <c r="D3" s="26"/>
      <c r="E3" s="374"/>
      <c r="F3" s="374"/>
      <c r="G3" s="374"/>
      <c r="H3" s="26"/>
      <c r="I3" s="26"/>
      <c r="J3" s="26"/>
      <c r="K3" s="26"/>
      <c r="L3" s="26"/>
      <c r="M3" s="26"/>
    </row>
    <row r="4" spans="1:13" ht="15.5" x14ac:dyDescent="0.35">
      <c r="B4" s="11" t="s">
        <v>94</v>
      </c>
      <c r="C4" s="12" t="str">
        <f>'Scoring Summary'!C5</f>
        <v>&lt;Evaluator to complete&gt;</v>
      </c>
      <c r="D4" s="26"/>
      <c r="E4" s="63"/>
      <c r="F4" s="63"/>
      <c r="G4" s="63"/>
      <c r="H4" s="26"/>
      <c r="I4" s="26"/>
      <c r="J4" s="26"/>
      <c r="K4" s="26"/>
      <c r="L4" s="26"/>
      <c r="M4" s="26"/>
    </row>
    <row r="5" spans="1:13" ht="15.5" x14ac:dyDescent="0.35">
      <c r="B5" s="11" t="s">
        <v>83</v>
      </c>
      <c r="C5" s="12" t="str">
        <f>'Scoring Summary'!C6</f>
        <v>&lt;Evaluator to complete&gt;</v>
      </c>
      <c r="D5" s="26"/>
      <c r="E5" s="26"/>
      <c r="F5" s="26"/>
      <c r="G5" s="26"/>
      <c r="H5" s="26"/>
      <c r="I5" s="26"/>
      <c r="J5" s="26"/>
      <c r="K5" s="26"/>
      <c r="L5" s="26"/>
      <c r="M5" s="26"/>
    </row>
    <row r="6" spans="1:13" ht="15.5" x14ac:dyDescent="0.35">
      <c r="B6" s="11" t="s">
        <v>84</v>
      </c>
      <c r="C6" s="12" t="str">
        <f>'Scoring Summary'!C6</f>
        <v>&lt;Evaluator to complete&gt;</v>
      </c>
      <c r="D6" s="26"/>
      <c r="E6" s="26"/>
      <c r="F6" s="26"/>
      <c r="G6" s="26"/>
      <c r="H6" s="26"/>
      <c r="I6" s="26"/>
      <c r="J6" s="26"/>
      <c r="K6" s="26"/>
      <c r="L6" s="26"/>
      <c r="M6" s="26"/>
    </row>
    <row r="7" spans="1:13" ht="37.5" customHeight="1" x14ac:dyDescent="0.35">
      <c r="B7" s="11" t="s">
        <v>85</v>
      </c>
      <c r="C7" s="10"/>
      <c r="D7" s="26"/>
      <c r="E7" s="26"/>
      <c r="F7" s="26"/>
      <c r="G7" s="26"/>
      <c r="H7" s="26"/>
      <c r="I7" s="26"/>
      <c r="J7" s="26"/>
      <c r="K7" s="26"/>
      <c r="L7" s="26"/>
      <c r="M7" s="26"/>
    </row>
    <row r="10" spans="1:13" x14ac:dyDescent="0.25">
      <c r="B10" s="25"/>
      <c r="C10" s="25"/>
      <c r="D10" s="25"/>
      <c r="E10" s="25"/>
      <c r="F10" s="25"/>
      <c r="G10" s="25"/>
      <c r="H10" s="25"/>
    </row>
    <row r="12" spans="1:13" x14ac:dyDescent="0.25">
      <c r="B12" s="25"/>
      <c r="C12" s="25"/>
      <c r="D12" s="25"/>
      <c r="E12" s="25"/>
      <c r="F12" s="25"/>
      <c r="G12" s="25"/>
      <c r="H12" s="25"/>
    </row>
    <row r="13" spans="1:13" ht="11" thickBot="1" x14ac:dyDescent="0.3">
      <c r="B13" s="25"/>
      <c r="C13" s="25"/>
      <c r="D13" s="25"/>
      <c r="E13" s="25"/>
      <c r="F13" s="25"/>
      <c r="G13" s="25"/>
      <c r="H13" s="25"/>
    </row>
    <row r="14" spans="1:13" x14ac:dyDescent="0.2">
      <c r="A14" s="846" t="s">
        <v>14</v>
      </c>
      <c r="B14" s="848" t="s">
        <v>15</v>
      </c>
      <c r="C14" s="849"/>
      <c r="D14" s="850" t="s">
        <v>16</v>
      </c>
      <c r="E14" s="851"/>
      <c r="F14" s="852"/>
      <c r="G14" s="155"/>
      <c r="H14" s="156"/>
      <c r="I14" s="157" t="s">
        <v>17</v>
      </c>
      <c r="J14" s="157"/>
      <c r="K14" s="157"/>
      <c r="L14" s="157"/>
      <c r="M14" s="158"/>
    </row>
    <row r="15" spans="1:13" s="29" customFormat="1" ht="101" x14ac:dyDescent="0.35">
      <c r="A15" s="847"/>
      <c r="B15" s="195" t="s">
        <v>95</v>
      </c>
      <c r="C15" s="196" t="s">
        <v>19</v>
      </c>
      <c r="D15" s="197" t="s">
        <v>20</v>
      </c>
      <c r="E15" s="198" t="s">
        <v>21</v>
      </c>
      <c r="F15" s="199" t="s">
        <v>22</v>
      </c>
      <c r="G15" s="200" t="s">
        <v>23</v>
      </c>
      <c r="H15" s="201" t="s">
        <v>24</v>
      </c>
      <c r="I15" s="202" t="s">
        <v>25</v>
      </c>
      <c r="J15" s="203" t="s">
        <v>26</v>
      </c>
      <c r="K15" s="204" t="s">
        <v>27</v>
      </c>
      <c r="L15" s="205" t="s">
        <v>28</v>
      </c>
      <c r="M15" s="206" t="s">
        <v>29</v>
      </c>
    </row>
    <row r="16" spans="1:13" s="46" customFormat="1" ht="34.5" customHeight="1" x14ac:dyDescent="0.35">
      <c r="A16" s="853">
        <v>1</v>
      </c>
      <c r="B16" s="418" t="s">
        <v>383</v>
      </c>
      <c r="C16" s="856" t="s">
        <v>384</v>
      </c>
      <c r="D16" s="858"/>
      <c r="E16" s="859"/>
      <c r="F16" s="861"/>
      <c r="G16" s="835" t="s">
        <v>73</v>
      </c>
      <c r="H16" s="632">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5</v>
      </c>
      <c r="I16" s="425">
        <f>(H16/$H$39)/_xlfn.XLOOKUP('Scoring Summary'!$D$17,'Response Guidelines'!$D$91:$D$190,'Response Guidelines'!$C$91:$C$190,"",0,1)</f>
        <v>1.0869565217391196E-2</v>
      </c>
      <c r="J16" s="192" t="s">
        <v>385</v>
      </c>
      <c r="K16" s="176">
        <f>I16</f>
        <v>1.0869565217391196E-2</v>
      </c>
      <c r="L16" s="496"/>
      <c r="M16" s="519"/>
    </row>
    <row r="17" spans="1:13" s="46" customFormat="1" ht="33" customHeight="1" x14ac:dyDescent="0.35">
      <c r="A17" s="854"/>
      <c r="B17" s="855"/>
      <c r="C17" s="857"/>
      <c r="D17" s="725"/>
      <c r="E17" s="860"/>
      <c r="F17" s="862"/>
      <c r="G17" s="682"/>
      <c r="H17" s="683"/>
      <c r="I17" s="426"/>
      <c r="J17" s="194" t="s">
        <v>386</v>
      </c>
      <c r="K17" s="178">
        <f>0%</f>
        <v>0</v>
      </c>
      <c r="L17" s="497"/>
      <c r="M17" s="521"/>
    </row>
    <row r="18" spans="1:13" s="29" customFormat="1" ht="33.65" customHeight="1" x14ac:dyDescent="0.35">
      <c r="A18" s="337">
        <v>2</v>
      </c>
      <c r="B18" s="844" t="s">
        <v>383</v>
      </c>
      <c r="C18" s="806" t="s">
        <v>387</v>
      </c>
      <c r="D18" s="801"/>
      <c r="E18" s="333"/>
      <c r="F18" s="388"/>
      <c r="G18" s="788" t="s">
        <v>72</v>
      </c>
      <c r="H18" s="818">
        <f>IF(G18='Response Guidelines'!$D$80,'Response Guidelines'!$C$80, IF(G18='Response Guidelines'!$D$81,'Response Guidelines'!$C$81,IF(G18='Response Guidelines'!$D$82,'Response Guidelines'!$C$82,IF(G18='Response Guidelines'!$D$83,'Response Guidelines'!$C$83,IF(G18='Response Guidelines'!$D$84,'Response Guidelines'!$C$84,IF(G18='Response Guidelines'!$D$85,'Response Guidelines'!$C$85,IF(G18='Response Guidelines'!$D$86,'Response Guidelines'!$C$86,"No Rating")))))))</f>
        <v>4</v>
      </c>
      <c r="I18" s="311">
        <f>(H18/$H$39)/_xlfn.XLOOKUP('Scoring Summary'!$D$17,'Response Guidelines'!$D$91:$D$190,'Response Guidelines'!$C$91:$C$190,"",0,1)</f>
        <v>8.6956521739129568E-3</v>
      </c>
      <c r="J18" s="143" t="s">
        <v>388</v>
      </c>
      <c r="K18" s="42">
        <f>I18</f>
        <v>8.6956521739129568E-3</v>
      </c>
      <c r="L18" s="313"/>
      <c r="M18" s="314"/>
    </row>
    <row r="19" spans="1:13" s="29" customFormat="1" ht="33.65" customHeight="1" x14ac:dyDescent="0.35">
      <c r="A19" s="337"/>
      <c r="B19" s="381"/>
      <c r="C19" s="845"/>
      <c r="D19" s="800"/>
      <c r="E19" s="340"/>
      <c r="F19" s="375"/>
      <c r="G19" s="693"/>
      <c r="H19" s="343"/>
      <c r="I19" s="450"/>
      <c r="J19" s="163" t="s">
        <v>389</v>
      </c>
      <c r="K19" s="40">
        <f>0%</f>
        <v>0</v>
      </c>
      <c r="L19" s="508"/>
      <c r="M19" s="745"/>
    </row>
    <row r="20" spans="1:13" s="29" customFormat="1" ht="24" customHeight="1" x14ac:dyDescent="0.35">
      <c r="A20" s="864">
        <v>3</v>
      </c>
      <c r="B20" s="865" t="s">
        <v>383</v>
      </c>
      <c r="C20" s="823" t="s">
        <v>390</v>
      </c>
      <c r="D20" s="867"/>
      <c r="E20" s="664"/>
      <c r="F20" s="871"/>
      <c r="G20" s="835" t="s">
        <v>73</v>
      </c>
      <c r="H20" s="632">
        <f>IF(G20='Response Guidelines'!$D$80,'Response Guidelines'!$C$80, IF(G20='Response Guidelines'!$D$81,'Response Guidelines'!$C$81,IF(G20='Response Guidelines'!$D$82,'Response Guidelines'!$C$82,IF(G20='Response Guidelines'!$D$83,'Response Guidelines'!$C$83,IF(G20='Response Guidelines'!$D$84,'Response Guidelines'!$C$84,IF(G20='Response Guidelines'!$D$85,'Response Guidelines'!$C$85,IF(G20='Response Guidelines'!$D$86,'Response Guidelines'!$C$86,"No Rating")))))))</f>
        <v>5</v>
      </c>
      <c r="I20" s="425">
        <f>(H20/$H$39)/_xlfn.XLOOKUP('Scoring Summary'!$D$17,'Response Guidelines'!$D$91:$D$190,'Response Guidelines'!$C$91:$C$190,"",0,1)</f>
        <v>1.0869565217391196E-2</v>
      </c>
      <c r="J20" s="192" t="s">
        <v>391</v>
      </c>
      <c r="K20" s="176">
        <f>I20</f>
        <v>1.0869565217391196E-2</v>
      </c>
      <c r="L20" s="496"/>
      <c r="M20" s="519"/>
    </row>
    <row r="21" spans="1:13" s="29" customFormat="1" ht="24" customHeight="1" x14ac:dyDescent="0.35">
      <c r="A21" s="864"/>
      <c r="B21" s="419"/>
      <c r="C21" s="807"/>
      <c r="D21" s="868"/>
      <c r="E21" s="665"/>
      <c r="F21" s="872"/>
      <c r="G21" s="816"/>
      <c r="H21" s="633"/>
      <c r="I21" s="312"/>
      <c r="J21" s="141" t="s">
        <v>392</v>
      </c>
      <c r="K21" s="38">
        <f>I20/2</f>
        <v>5.4347826086955982E-3</v>
      </c>
      <c r="L21" s="304"/>
      <c r="M21" s="520"/>
    </row>
    <row r="22" spans="1:13" s="29" customFormat="1" ht="24" customHeight="1" x14ac:dyDescent="0.35">
      <c r="A22" s="864"/>
      <c r="B22" s="420"/>
      <c r="C22" s="866"/>
      <c r="D22" s="869"/>
      <c r="E22" s="870"/>
      <c r="F22" s="873"/>
      <c r="G22" s="682"/>
      <c r="H22" s="683"/>
      <c r="I22" s="426"/>
      <c r="J22" s="194" t="s">
        <v>393</v>
      </c>
      <c r="K22" s="178">
        <f>0%</f>
        <v>0</v>
      </c>
      <c r="L22" s="497"/>
      <c r="M22" s="521"/>
    </row>
    <row r="23" spans="1:13" s="29" customFormat="1" ht="55" customHeight="1" x14ac:dyDescent="0.35">
      <c r="A23" s="885">
        <v>4</v>
      </c>
      <c r="B23" s="803" t="s">
        <v>394</v>
      </c>
      <c r="C23" s="806" t="s">
        <v>395</v>
      </c>
      <c r="D23" s="809"/>
      <c r="E23" s="649"/>
      <c r="F23" s="787"/>
      <c r="G23" s="788" t="s">
        <v>37</v>
      </c>
      <c r="H23" s="818">
        <f>IF(G23='Response Guidelines'!$D$80,'Response Guidelines'!$C$80, IF(G23='Response Guidelines'!$D$81,'Response Guidelines'!$C$81,IF(G23='Response Guidelines'!$D$82,'Response Guidelines'!$C$82,IF(G23='Response Guidelines'!$D$83,'Response Guidelines'!$C$83,IF(G23='Response Guidelines'!$D$84,'Response Guidelines'!$C$84,IF(G23='Response Guidelines'!$D$85,'Response Guidelines'!$C$85,IF(G23='Response Guidelines'!$D$86,'Response Guidelines'!$C$86,"No Rating")))))))</f>
        <v>6</v>
      </c>
      <c r="I23" s="311">
        <f>(H23/$H$39)/_xlfn.XLOOKUP('Scoring Summary'!$D$17,'Response Guidelines'!$D$91:$D$190,'Response Guidelines'!$C$91:$C$190,"",0,1)</f>
        <v>1.3043478260869434E-2</v>
      </c>
      <c r="J23" s="143" t="s">
        <v>396</v>
      </c>
      <c r="K23" s="42">
        <f>I23</f>
        <v>1.3043478260869434E-2</v>
      </c>
      <c r="L23" s="313"/>
      <c r="M23" s="694"/>
    </row>
    <row r="24" spans="1:13" s="29" customFormat="1" ht="50.15" customHeight="1" x14ac:dyDescent="0.35">
      <c r="A24" s="885"/>
      <c r="B24" s="790"/>
      <c r="C24" s="845"/>
      <c r="D24" s="881"/>
      <c r="E24" s="650"/>
      <c r="F24" s="383"/>
      <c r="G24" s="693"/>
      <c r="H24" s="343"/>
      <c r="I24" s="450"/>
      <c r="J24" s="163" t="s">
        <v>397</v>
      </c>
      <c r="K24" s="40">
        <f>0%</f>
        <v>0</v>
      </c>
      <c r="L24" s="508"/>
      <c r="M24" s="711"/>
    </row>
    <row r="25" spans="1:13" s="29" customFormat="1" ht="21.65" customHeight="1" x14ac:dyDescent="0.35">
      <c r="A25" s="878">
        <v>5</v>
      </c>
      <c r="B25" s="865" t="s">
        <v>398</v>
      </c>
      <c r="C25" s="823" t="s">
        <v>399</v>
      </c>
      <c r="D25" s="826"/>
      <c r="E25" s="829"/>
      <c r="F25" s="832"/>
      <c r="G25" s="835" t="s">
        <v>72</v>
      </c>
      <c r="H25" s="632">
        <f>IF(G25='Response Guidelines'!$D$80,'Response Guidelines'!$C$80, IF(G25='Response Guidelines'!$D$81,'Response Guidelines'!$C$81,IF(G25='Response Guidelines'!$D$82,'Response Guidelines'!$C$82,IF(G25='Response Guidelines'!$D$83,'Response Guidelines'!$C$83,IF(G25='Response Guidelines'!$D$84,'Response Guidelines'!$C$84,IF(G25='Response Guidelines'!$D$85,'Response Guidelines'!$C$85,IF(G25='Response Guidelines'!$D$86,'Response Guidelines'!$C$86,"No Rating")))))))</f>
        <v>4</v>
      </c>
      <c r="I25" s="838">
        <f>(H25/$H$39)/_xlfn.XLOOKUP('Scoring Summary'!$D$17,'Response Guidelines'!$D$91:$D$190,'Response Guidelines'!$C$91:$C$190,"",0,1)</f>
        <v>8.6956521739129568E-3</v>
      </c>
      <c r="J25" s="192" t="s">
        <v>400</v>
      </c>
      <c r="K25" s="176">
        <f>I25</f>
        <v>8.6956521739129568E-3</v>
      </c>
      <c r="L25" s="882"/>
      <c r="M25" s="453"/>
    </row>
    <row r="26" spans="1:13" s="29" customFormat="1" ht="17.149999999999999" customHeight="1" x14ac:dyDescent="0.35">
      <c r="A26" s="879"/>
      <c r="B26" s="874"/>
      <c r="C26" s="824"/>
      <c r="D26" s="827"/>
      <c r="E26" s="830"/>
      <c r="F26" s="833"/>
      <c r="G26" s="836"/>
      <c r="H26" s="876"/>
      <c r="I26" s="876"/>
      <c r="J26" s="141" t="s">
        <v>401</v>
      </c>
      <c r="K26" s="38">
        <f>I25/2</f>
        <v>4.3478260869564784E-3</v>
      </c>
      <c r="L26" s="876"/>
      <c r="M26" s="454"/>
    </row>
    <row r="27" spans="1:13" s="29" customFormat="1" ht="75" customHeight="1" x14ac:dyDescent="0.35">
      <c r="A27" s="879"/>
      <c r="B27" s="875"/>
      <c r="C27" s="825"/>
      <c r="D27" s="828"/>
      <c r="E27" s="831"/>
      <c r="F27" s="834"/>
      <c r="G27" s="837"/>
      <c r="H27" s="877"/>
      <c r="I27" s="877"/>
      <c r="J27" s="194" t="s">
        <v>402</v>
      </c>
      <c r="K27" s="178">
        <f>0</f>
        <v>0</v>
      </c>
      <c r="L27" s="877"/>
      <c r="M27" s="888"/>
    </row>
    <row r="28" spans="1:13" s="29" customFormat="1" ht="32.15" customHeight="1" x14ac:dyDescent="0.35">
      <c r="A28" s="885">
        <v>6</v>
      </c>
      <c r="B28" s="803" t="s">
        <v>403</v>
      </c>
      <c r="C28" s="806" t="s">
        <v>404</v>
      </c>
      <c r="D28" s="809"/>
      <c r="E28" s="649"/>
      <c r="F28" s="787"/>
      <c r="G28" s="788" t="s">
        <v>33</v>
      </c>
      <c r="H28" s="818">
        <f>IF(G28='Response Guidelines'!$D$80,'Response Guidelines'!$C$80, IF(G28='Response Guidelines'!$D$81,'Response Guidelines'!$C$81,IF(G28='Response Guidelines'!$D$82,'Response Guidelines'!$C$82,IF(G28='Response Guidelines'!$D$83,'Response Guidelines'!$C$83,IF(G28='Response Guidelines'!$D$84,'Response Guidelines'!$C$84,IF(G28='Response Guidelines'!$D$85,'Response Guidelines'!$C$85,IF(G28='Response Guidelines'!$D$86,'Response Guidelines'!$C$86,"No Rating")))))))</f>
        <v>3</v>
      </c>
      <c r="I28" s="820">
        <f>(H28/$H$39)/_xlfn.XLOOKUP('Scoring Summary'!$D$17,'Response Guidelines'!$D$91:$D$190,'Response Guidelines'!$C$91:$C$190,"",0,1)</f>
        <v>6.5217391304347172E-3</v>
      </c>
      <c r="J28" s="143" t="s">
        <v>373</v>
      </c>
      <c r="K28" s="42">
        <f>I28</f>
        <v>6.5217391304347172E-3</v>
      </c>
      <c r="L28" s="841"/>
      <c r="M28" s="694"/>
    </row>
    <row r="29" spans="1:13" s="29" customFormat="1" ht="25.5" customHeight="1" x14ac:dyDescent="0.35">
      <c r="A29" s="887"/>
      <c r="B29" s="790"/>
      <c r="C29" s="845"/>
      <c r="D29" s="881"/>
      <c r="E29" s="650"/>
      <c r="F29" s="383"/>
      <c r="G29" s="693"/>
      <c r="H29" s="343"/>
      <c r="I29" s="840"/>
      <c r="J29" s="163" t="s">
        <v>374</v>
      </c>
      <c r="K29" s="40">
        <v>0</v>
      </c>
      <c r="L29" s="884"/>
      <c r="M29" s="711"/>
    </row>
    <row r="30" spans="1:13" s="29" customFormat="1" ht="32.15" customHeight="1" x14ac:dyDescent="0.35">
      <c r="A30" s="878">
        <v>7</v>
      </c>
      <c r="B30" s="865" t="s">
        <v>405</v>
      </c>
      <c r="C30" s="823" t="s">
        <v>406</v>
      </c>
      <c r="D30" s="826"/>
      <c r="E30" s="829"/>
      <c r="F30" s="832"/>
      <c r="G30" s="835" t="s">
        <v>73</v>
      </c>
      <c r="H30" s="632">
        <f>IF(G30='Response Guidelines'!$D$80,'Response Guidelines'!$C$80, IF(G30='Response Guidelines'!$D$81,'Response Guidelines'!$C$81,IF(G30='Response Guidelines'!$D$82,'Response Guidelines'!$C$82,IF(G30='Response Guidelines'!$D$83,'Response Guidelines'!$C$83,IF(G30='Response Guidelines'!$D$84,'Response Guidelines'!$C$84,IF(G30='Response Guidelines'!$D$85,'Response Guidelines'!$C$85,IF(G30='Response Guidelines'!$D$86,'Response Guidelines'!$C$86,"No Rating")))))))</f>
        <v>5</v>
      </c>
      <c r="I30" s="838">
        <f>(H30/$H$39)/_xlfn.XLOOKUP('Scoring Summary'!$D$17,'Response Guidelines'!$D$91:$D$190,'Response Guidelines'!$C$91:$C$190,"",0,1)</f>
        <v>1.0869565217391196E-2</v>
      </c>
      <c r="J30" s="192" t="s">
        <v>373</v>
      </c>
      <c r="K30" s="176">
        <f>I30</f>
        <v>1.0869565217391196E-2</v>
      </c>
      <c r="L30" s="882"/>
      <c r="M30" s="453"/>
    </row>
    <row r="31" spans="1:13" s="29" customFormat="1" ht="25.5" customHeight="1" x14ac:dyDescent="0.35">
      <c r="A31" s="879"/>
      <c r="B31" s="420"/>
      <c r="C31" s="866"/>
      <c r="D31" s="880"/>
      <c r="E31" s="680"/>
      <c r="F31" s="686"/>
      <c r="G31" s="682"/>
      <c r="H31" s="683"/>
      <c r="I31" s="839"/>
      <c r="J31" s="194" t="s">
        <v>374</v>
      </c>
      <c r="K31" s="178">
        <v>0</v>
      </c>
      <c r="L31" s="883"/>
      <c r="M31" s="455"/>
    </row>
    <row r="32" spans="1:13" s="29" customFormat="1" ht="32.15" customHeight="1" x14ac:dyDescent="0.35">
      <c r="A32" s="885">
        <v>8</v>
      </c>
      <c r="B32" s="803" t="s">
        <v>407</v>
      </c>
      <c r="C32" s="806" t="s">
        <v>408</v>
      </c>
      <c r="D32" s="809"/>
      <c r="E32" s="649"/>
      <c r="F32" s="787"/>
      <c r="G32" s="788" t="s">
        <v>73</v>
      </c>
      <c r="H32" s="818">
        <f>IF(G32='Response Guidelines'!$D$80,'Response Guidelines'!$C$80, IF(G32='Response Guidelines'!$D$81,'Response Guidelines'!$C$81,IF(G32='Response Guidelines'!$D$82,'Response Guidelines'!$C$82,IF(G32='Response Guidelines'!$D$83,'Response Guidelines'!$C$83,IF(G32='Response Guidelines'!$D$84,'Response Guidelines'!$C$84,IF(G32='Response Guidelines'!$D$85,'Response Guidelines'!$C$85,IF(G32='Response Guidelines'!$D$86,'Response Guidelines'!$C$86,"No Rating")))))))</f>
        <v>5</v>
      </c>
      <c r="I32" s="820">
        <f>(H32/$H$39)/_xlfn.XLOOKUP('Scoring Summary'!$D$17,'Response Guidelines'!$D$91:$D$190,'Response Guidelines'!$C$91:$C$190,"",0,1)</f>
        <v>1.0869565217391196E-2</v>
      </c>
      <c r="J32" s="143" t="s">
        <v>409</v>
      </c>
      <c r="K32" s="42">
        <f>I32</f>
        <v>1.0869565217391196E-2</v>
      </c>
      <c r="L32" s="841"/>
      <c r="M32" s="694"/>
    </row>
    <row r="33" spans="1:13" s="29" customFormat="1" ht="25.5" customHeight="1" x14ac:dyDescent="0.35">
      <c r="A33" s="887"/>
      <c r="B33" s="790"/>
      <c r="C33" s="845"/>
      <c r="D33" s="881"/>
      <c r="E33" s="650"/>
      <c r="F33" s="383"/>
      <c r="G33" s="693"/>
      <c r="H33" s="343"/>
      <c r="I33" s="840"/>
      <c r="J33" s="163" t="s">
        <v>410</v>
      </c>
      <c r="K33" s="40">
        <v>0</v>
      </c>
      <c r="L33" s="884"/>
      <c r="M33" s="711"/>
    </row>
    <row r="34" spans="1:13" s="29" customFormat="1" ht="32.15" customHeight="1" x14ac:dyDescent="0.35">
      <c r="A34" s="878">
        <v>9</v>
      </c>
      <c r="B34" s="865" t="s">
        <v>411</v>
      </c>
      <c r="C34" s="823" t="s">
        <v>412</v>
      </c>
      <c r="D34" s="826"/>
      <c r="E34" s="829"/>
      <c r="F34" s="832"/>
      <c r="G34" s="835" t="s">
        <v>72</v>
      </c>
      <c r="H34" s="632">
        <f>IF(G34='Response Guidelines'!$D$80,'Response Guidelines'!$C$80, IF(G34='Response Guidelines'!$D$81,'Response Guidelines'!$C$81,IF(G34='Response Guidelines'!$D$82,'Response Guidelines'!$C$82,IF(G34='Response Guidelines'!$D$83,'Response Guidelines'!$C$83,IF(G34='Response Guidelines'!$D$84,'Response Guidelines'!$C$84,IF(G34='Response Guidelines'!$D$85,'Response Guidelines'!$C$85,IF(G34='Response Guidelines'!$D$86,'Response Guidelines'!$C$86,"No Rating")))))))</f>
        <v>4</v>
      </c>
      <c r="I34" s="838">
        <f>(H34/$H$39)/_xlfn.XLOOKUP('Scoring Summary'!$D$17,'Response Guidelines'!$D$91:$D$190,'Response Guidelines'!$C$91:$C$190,"",0,1)</f>
        <v>8.6956521739129568E-3</v>
      </c>
      <c r="J34" s="192" t="s">
        <v>409</v>
      </c>
      <c r="K34" s="176">
        <f>I34</f>
        <v>8.6956521739129568E-3</v>
      </c>
      <c r="L34" s="882"/>
      <c r="M34" s="453"/>
    </row>
    <row r="35" spans="1:13" s="29" customFormat="1" ht="25.5" customHeight="1" x14ac:dyDescent="0.35">
      <c r="A35" s="879"/>
      <c r="B35" s="420"/>
      <c r="C35" s="866"/>
      <c r="D35" s="880"/>
      <c r="E35" s="680"/>
      <c r="F35" s="686"/>
      <c r="G35" s="682"/>
      <c r="H35" s="683"/>
      <c r="I35" s="839"/>
      <c r="J35" s="194" t="s">
        <v>410</v>
      </c>
      <c r="K35" s="178">
        <v>0</v>
      </c>
      <c r="L35" s="883"/>
      <c r="M35" s="455"/>
    </row>
    <row r="36" spans="1:13" s="29" customFormat="1" ht="32.15" customHeight="1" x14ac:dyDescent="0.35">
      <c r="A36" s="885">
        <v>10</v>
      </c>
      <c r="B36" s="803" t="s">
        <v>413</v>
      </c>
      <c r="C36" s="806" t="s">
        <v>414</v>
      </c>
      <c r="D36" s="809"/>
      <c r="E36" s="649"/>
      <c r="F36" s="787"/>
      <c r="G36" s="788" t="s">
        <v>73</v>
      </c>
      <c r="H36" s="818">
        <f>IF(G36='Response Guidelines'!$D$80,'Response Guidelines'!$C$80, IF(G36='Response Guidelines'!$D$81,'Response Guidelines'!$C$81,IF(G36='Response Guidelines'!$D$82,'Response Guidelines'!$C$82,IF(G36='Response Guidelines'!$D$83,'Response Guidelines'!$C$83,IF(G36='Response Guidelines'!$D$84,'Response Guidelines'!$C$84,IF(G36='Response Guidelines'!$D$85,'Response Guidelines'!$C$85,IF(G36='Response Guidelines'!$D$86,'Response Guidelines'!$C$86,"No Rating")))))))</f>
        <v>5</v>
      </c>
      <c r="I36" s="820">
        <f>(H36/$H$39)/_xlfn.XLOOKUP('Scoring Summary'!$D$17,'Response Guidelines'!$D$91:$D$190,'Response Guidelines'!$C$91:$C$190,"",0,1)</f>
        <v>1.0869565217391196E-2</v>
      </c>
      <c r="J36" s="143" t="s">
        <v>415</v>
      </c>
      <c r="K36" s="42">
        <f>I36</f>
        <v>1.0869565217391196E-2</v>
      </c>
      <c r="L36" s="841"/>
      <c r="M36" s="694"/>
    </row>
    <row r="37" spans="1:13" s="29" customFormat="1" ht="32.15" customHeight="1" x14ac:dyDescent="0.35">
      <c r="A37" s="885"/>
      <c r="B37" s="781"/>
      <c r="C37" s="807"/>
      <c r="D37" s="810"/>
      <c r="E37" s="812"/>
      <c r="F37" s="814"/>
      <c r="G37" s="816"/>
      <c r="H37" s="633"/>
      <c r="I37" s="821"/>
      <c r="J37" s="141" t="s">
        <v>416</v>
      </c>
      <c r="K37" s="38">
        <f>I36/2</f>
        <v>5.4347826086955982E-3</v>
      </c>
      <c r="L37" s="842"/>
      <c r="M37" s="773"/>
    </row>
    <row r="38" spans="1:13" s="29" customFormat="1" ht="25.5" customHeight="1" thickBot="1" x14ac:dyDescent="0.4">
      <c r="A38" s="886"/>
      <c r="B38" s="782"/>
      <c r="C38" s="808"/>
      <c r="D38" s="811"/>
      <c r="E38" s="813"/>
      <c r="F38" s="815"/>
      <c r="G38" s="817"/>
      <c r="H38" s="819"/>
      <c r="I38" s="822"/>
      <c r="J38" s="142" t="s">
        <v>417</v>
      </c>
      <c r="K38" s="36">
        <v>0</v>
      </c>
      <c r="L38" s="843"/>
      <c r="M38" s="777"/>
    </row>
    <row r="39" spans="1:13" s="29" customFormat="1" ht="11" thickBot="1" x14ac:dyDescent="0.4">
      <c r="A39" s="150"/>
      <c r="B39" s="151" t="s">
        <v>43</v>
      </c>
      <c r="C39" s="151"/>
      <c r="D39" s="151"/>
      <c r="E39" s="151"/>
      <c r="F39" s="151"/>
      <c r="G39" s="151"/>
      <c r="H39" s="149">
        <f>SUM(H16:H38)</f>
        <v>46</v>
      </c>
      <c r="I39" s="152">
        <f>SUM(I16:I38)</f>
        <v>9.9999999999999006E-2</v>
      </c>
      <c r="J39" s="863" t="s">
        <v>44</v>
      </c>
      <c r="K39" s="863"/>
      <c r="L39" s="153">
        <f>SUM(L16:L24)</f>
        <v>0</v>
      </c>
      <c r="M39" s="154"/>
    </row>
  </sheetData>
  <mergeCells count="115">
    <mergeCell ref="M30:M31"/>
    <mergeCell ref="F28:F29"/>
    <mergeCell ref="B28:B29"/>
    <mergeCell ref="A23:A24"/>
    <mergeCell ref="B23:B24"/>
    <mergeCell ref="C23:C24"/>
    <mergeCell ref="D23:D24"/>
    <mergeCell ref="E23:E24"/>
    <mergeCell ref="F23:F24"/>
    <mergeCell ref="L25:L27"/>
    <mergeCell ref="M25:M27"/>
    <mergeCell ref="I25:I27"/>
    <mergeCell ref="G23:G24"/>
    <mergeCell ref="H23:H24"/>
    <mergeCell ref="I23:I24"/>
    <mergeCell ref="L23:L24"/>
    <mergeCell ref="M23:M24"/>
    <mergeCell ref="H28:H29"/>
    <mergeCell ref="I28:I29"/>
    <mergeCell ref="L28:L29"/>
    <mergeCell ref="M28:M29"/>
    <mergeCell ref="A28:A29"/>
    <mergeCell ref="L30:L31"/>
    <mergeCell ref="B36:B38"/>
    <mergeCell ref="C28:C29"/>
    <mergeCell ref="A36:A38"/>
    <mergeCell ref="B34:B35"/>
    <mergeCell ref="C34:C35"/>
    <mergeCell ref="D34:D35"/>
    <mergeCell ref="E34:E35"/>
    <mergeCell ref="A32:A33"/>
    <mergeCell ref="I30:I31"/>
    <mergeCell ref="L34:L35"/>
    <mergeCell ref="B32:B33"/>
    <mergeCell ref="C32:C33"/>
    <mergeCell ref="D32:D33"/>
    <mergeCell ref="F32:F33"/>
    <mergeCell ref="A34:A35"/>
    <mergeCell ref="M34:M35"/>
    <mergeCell ref="L32:L33"/>
    <mergeCell ref="M32:M33"/>
    <mergeCell ref="J39:K39"/>
    <mergeCell ref="A20:A22"/>
    <mergeCell ref="B20:B22"/>
    <mergeCell ref="C20:C22"/>
    <mergeCell ref="D20:D22"/>
    <mergeCell ref="E20:E22"/>
    <mergeCell ref="F20:F22"/>
    <mergeCell ref="G20:G22"/>
    <mergeCell ref="H20:H22"/>
    <mergeCell ref="B25:B27"/>
    <mergeCell ref="H25:H27"/>
    <mergeCell ref="I20:I22"/>
    <mergeCell ref="A25:A27"/>
    <mergeCell ref="A30:A31"/>
    <mergeCell ref="E32:E33"/>
    <mergeCell ref="B30:B31"/>
    <mergeCell ref="C30:C31"/>
    <mergeCell ref="D30:D31"/>
    <mergeCell ref="E30:E31"/>
    <mergeCell ref="F30:F31"/>
    <mergeCell ref="G32:G33"/>
    <mergeCell ref="H32:H33"/>
    <mergeCell ref="D28:D29"/>
    <mergeCell ref="E28:E29"/>
    <mergeCell ref="E2:G3"/>
    <mergeCell ref="A14:A15"/>
    <mergeCell ref="B14:C14"/>
    <mergeCell ref="D14:F14"/>
    <mergeCell ref="A16:A17"/>
    <mergeCell ref="B16:B17"/>
    <mergeCell ref="C16:C17"/>
    <mergeCell ref="D16:D17"/>
    <mergeCell ref="E16:E17"/>
    <mergeCell ref="F16:F17"/>
    <mergeCell ref="G16:G17"/>
    <mergeCell ref="M16:M17"/>
    <mergeCell ref="A18:A19"/>
    <mergeCell ref="B18:B19"/>
    <mergeCell ref="C18:C19"/>
    <mergeCell ref="D18:D19"/>
    <mergeCell ref="E18:E19"/>
    <mergeCell ref="F18:F19"/>
    <mergeCell ref="G18:G19"/>
    <mergeCell ref="H18:H19"/>
    <mergeCell ref="I18:I19"/>
    <mergeCell ref="H16:H17"/>
    <mergeCell ref="I16:I17"/>
    <mergeCell ref="L16:L17"/>
    <mergeCell ref="L18:L19"/>
    <mergeCell ref="M18:M19"/>
    <mergeCell ref="L20:L22"/>
    <mergeCell ref="M20:M22"/>
    <mergeCell ref="C36:C38"/>
    <mergeCell ref="D36:D38"/>
    <mergeCell ref="E36:E38"/>
    <mergeCell ref="F36:F38"/>
    <mergeCell ref="G36:G38"/>
    <mergeCell ref="H36:H38"/>
    <mergeCell ref="I36:I38"/>
    <mergeCell ref="C25:C27"/>
    <mergeCell ref="D25:D27"/>
    <mergeCell ref="E25:E27"/>
    <mergeCell ref="F25:F27"/>
    <mergeCell ref="G25:G27"/>
    <mergeCell ref="F34:F35"/>
    <mergeCell ref="G34:G35"/>
    <mergeCell ref="H34:H35"/>
    <mergeCell ref="I34:I35"/>
    <mergeCell ref="I32:I33"/>
    <mergeCell ref="G30:G31"/>
    <mergeCell ref="H30:H31"/>
    <mergeCell ref="L36:L38"/>
    <mergeCell ref="M36:M38"/>
    <mergeCell ref="G28:G29"/>
  </mergeCells>
  <dataValidations count="19">
    <dataValidation type="list" allowBlank="1" showInputMessage="1" showErrorMessage="1" sqref="L20:L22" xr:uid="{033C297B-EC27-4F25-843D-723484FC275C}">
      <formula1>$K$20:$K$22</formula1>
    </dataValidation>
    <dataValidation type="list" allowBlank="1" showInputMessage="1" showErrorMessage="1" sqref="L16:L17" xr:uid="{90F08940-36F2-4A8E-A08C-3D1EAA47726E}">
      <formula1>$K$16:$K$17</formula1>
    </dataValidation>
    <dataValidation type="list" allowBlank="1" showInputMessage="1" showErrorMessage="1" sqref="L18:L19" xr:uid="{B3CBCDDB-EBF4-4BDE-B884-0F541F3EB765}">
      <formula1>$K$18:$K$19</formula1>
    </dataValidation>
    <dataValidation type="list" allowBlank="1" showInputMessage="1" showErrorMessage="1" sqref="D23:D24" xr:uid="{B92D86A9-767A-48E8-B42F-2C8236ED314C}">
      <formula1>$J$23:$J$24</formula1>
    </dataValidation>
    <dataValidation type="list" allowBlank="1" showInputMessage="1" showErrorMessage="1" sqref="D20:D22" xr:uid="{7C34ACC3-070F-4EE6-9741-A6E0B96DBE3C}">
      <formula1>$J$20:$J$22</formula1>
    </dataValidation>
    <dataValidation type="list" allowBlank="1" showInputMessage="1" showErrorMessage="1" sqref="L23:L24" xr:uid="{3C0FC716-719A-4A71-AEC9-661E819FAEB5}">
      <formula1>$K$23:$K$24</formula1>
    </dataValidation>
    <dataValidation type="list" allowBlank="1" showInputMessage="1" showErrorMessage="1" sqref="D16:D17" xr:uid="{5B542FD3-13AA-411D-8D90-98EAE79665D5}">
      <formula1>$J$16:$J$17</formula1>
    </dataValidation>
    <dataValidation type="list" allowBlank="1" showInputMessage="1" showErrorMessage="1" sqref="D18:D19" xr:uid="{C0AFDA90-D865-4748-A6DE-A15EE17477A6}">
      <formula1>$J$18:$J$19</formula1>
    </dataValidation>
    <dataValidation type="list" allowBlank="1" showInputMessage="1" showErrorMessage="1" sqref="L25:L27" xr:uid="{A44F9869-9BA7-4820-8290-1CCAA68A99E7}">
      <formula1>$K$25:$K$27</formula1>
    </dataValidation>
    <dataValidation type="list" allowBlank="1" showInputMessage="1" showErrorMessage="1" sqref="D25:D27" xr:uid="{7B84F5C6-2481-4144-9464-F0606CF5D543}">
      <formula1>$J$25:$J$27</formula1>
    </dataValidation>
    <dataValidation type="list" allowBlank="1" showInputMessage="1" showErrorMessage="1" sqref="L36:L38" xr:uid="{FE148843-0C72-43C9-84D5-7599ACE71CDB}">
      <formula1>$K$36:$K$38</formula1>
    </dataValidation>
    <dataValidation type="list" allowBlank="1" showInputMessage="1" showErrorMessage="1" sqref="L28:L29 L32:L33" xr:uid="{632A4FB1-9659-465D-9FD4-FB8064C8DE1F}">
      <formula1>$K$28:$K$29</formula1>
    </dataValidation>
    <dataValidation type="list" allowBlank="1" showInputMessage="1" showErrorMessage="1" sqref="D28:D29" xr:uid="{62EDB166-AA0D-4740-9E9C-5A5FACFB136E}">
      <formula1>$J$28:$J$29</formula1>
    </dataValidation>
    <dataValidation type="list" allowBlank="1" showInputMessage="1" showErrorMessage="1" sqref="D30:D31" xr:uid="{9653D32D-A598-4992-98A9-FB127FCD8248}">
      <formula1>$J$30:$J$31</formula1>
    </dataValidation>
    <dataValidation type="list" allowBlank="1" showInputMessage="1" showErrorMessage="1" sqref="L30:L31" xr:uid="{CD9084DB-39CC-46AA-9ECC-5E5B1A5FBFDD}">
      <formula1>$K$30:$K$31</formula1>
    </dataValidation>
    <dataValidation type="list" allowBlank="1" showInputMessage="1" showErrorMessage="1" sqref="D32:D33" xr:uid="{E77ABA82-0F3E-41ED-8953-C657705A4972}">
      <formula1>$J$32:$J$33</formula1>
    </dataValidation>
    <dataValidation type="list" allowBlank="1" showInputMessage="1" showErrorMessage="1" sqref="D34:D35" xr:uid="{AC5F94D8-71FC-4DD4-8105-FB75C4F79385}">
      <formula1>$J$34:$J$35</formula1>
    </dataValidation>
    <dataValidation type="list" allowBlank="1" showInputMessage="1" showErrorMessage="1" sqref="L34:L35" xr:uid="{086B8752-FDB8-408A-AA92-CA4BDA29DB3D}">
      <formula1>$K$34:$K$35</formula1>
    </dataValidation>
    <dataValidation type="list" allowBlank="1" showInputMessage="1" showErrorMessage="1" sqref="D36:D38" xr:uid="{1CF32D4C-1494-465D-94B3-3AF8CC9F73AD}">
      <formula1>$J$36:$J$38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6848769-5177-4062-990D-55C6338DFF97}">
          <x14:formula1>
            <xm:f>'Response Guidelines'!$D$80:$D$86</xm:f>
          </x14:formula1>
          <xm:sqref>G16 G18 G20 G23 G25:G38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2A2A8"/>
    <pageSetUpPr fitToPage="1"/>
  </sheetPr>
  <dimension ref="A1:M60"/>
  <sheetViews>
    <sheetView topLeftCell="B1" zoomScaleNormal="100" workbookViewId="0">
      <selection activeCell="C2" sqref="C2"/>
    </sheetView>
  </sheetViews>
  <sheetFormatPr defaultColWidth="9.1796875" defaultRowHeight="10.5" x14ac:dyDescent="0.25"/>
  <cols>
    <col min="1" max="1" width="3.1796875" style="19" bestFit="1" customWidth="1"/>
    <col min="2" max="2" width="37.1796875" style="18" customWidth="1"/>
    <col min="3" max="3" width="62" style="18" customWidth="1"/>
    <col min="4" max="4" width="43.453125" style="18" customWidth="1"/>
    <col min="5" max="5" width="6.54296875" style="18" customWidth="1"/>
    <col min="6" max="6" width="5" style="18" customWidth="1"/>
    <col min="7" max="7" width="11.453125" style="18" customWidth="1"/>
    <col min="8" max="8" width="7.54296875" style="18" customWidth="1"/>
    <col min="9" max="9" width="13.453125" style="17" customWidth="1"/>
    <col min="10" max="10" width="23.81640625" style="16" customWidth="1"/>
    <col min="11" max="11" width="9.81640625" style="15" customWidth="1"/>
    <col min="12" max="12" width="5.453125" style="13" customWidth="1"/>
    <col min="13" max="13" width="40.453125" style="14" customWidth="1"/>
    <col min="14" max="14" width="8.54296875" style="13" customWidth="1"/>
    <col min="15" max="16384" width="9.1796875" style="13"/>
  </cols>
  <sheetData>
    <row r="1" spans="1:13" x14ac:dyDescent="0.25">
      <c r="B1" s="64"/>
      <c r="C1" s="64"/>
      <c r="D1" s="64"/>
      <c r="E1" s="64"/>
      <c r="F1" s="64"/>
      <c r="G1" s="64"/>
      <c r="H1" s="64"/>
    </row>
    <row r="2" spans="1:13" ht="17.149999999999999" customHeight="1" x14ac:dyDescent="0.35">
      <c r="B2" s="11" t="s">
        <v>77</v>
      </c>
      <c r="C2" s="12" t="str">
        <f>'Scoring Summary'!C2</f>
        <v>&lt;insert before tender publication&gt;</v>
      </c>
      <c r="D2" s="26"/>
      <c r="E2" s="374" t="s">
        <v>418</v>
      </c>
      <c r="F2" s="374"/>
      <c r="G2" s="374"/>
      <c r="H2" s="26"/>
      <c r="I2" s="26"/>
      <c r="J2" s="26"/>
      <c r="K2" s="26"/>
      <c r="L2" s="26"/>
      <c r="M2" s="26"/>
    </row>
    <row r="3" spans="1:13" ht="17.149999999999999" customHeight="1" x14ac:dyDescent="0.35">
      <c r="B3" s="11" t="s">
        <v>80</v>
      </c>
      <c r="C3" s="12" t="str">
        <f>'Scoring Summary'!C3</f>
        <v>Feeder Balancing Module</v>
      </c>
      <c r="D3" s="26"/>
      <c r="E3" s="374"/>
      <c r="F3" s="374"/>
      <c r="G3" s="374"/>
      <c r="H3" s="26"/>
      <c r="I3" s="26"/>
      <c r="J3" s="26"/>
      <c r="K3" s="26"/>
      <c r="L3" s="26"/>
      <c r="M3" s="26"/>
    </row>
    <row r="4" spans="1:13" ht="14.5" customHeight="1" x14ac:dyDescent="0.35">
      <c r="B4" s="11" t="s">
        <v>94</v>
      </c>
      <c r="C4" s="10" t="str">
        <f>'Scoring Summary'!C4</f>
        <v>&lt;Evaluator to complete&gt;</v>
      </c>
      <c r="D4" s="26"/>
      <c r="E4" s="63"/>
      <c r="F4" s="63"/>
      <c r="G4" s="63"/>
      <c r="H4" s="26"/>
      <c r="I4" s="26"/>
      <c r="J4" s="26"/>
      <c r="K4" s="26"/>
      <c r="L4" s="26"/>
      <c r="M4" s="26"/>
    </row>
    <row r="5" spans="1:13" ht="14.5" customHeight="1" x14ac:dyDescent="0.35">
      <c r="B5" s="11" t="s">
        <v>83</v>
      </c>
      <c r="C5" s="10" t="str">
        <f>'Scoring Summary'!C5</f>
        <v>&lt;Evaluator to complete&gt;</v>
      </c>
      <c r="D5" s="26"/>
      <c r="E5" s="26"/>
      <c r="F5" s="26"/>
      <c r="G5" s="26"/>
      <c r="H5" s="26"/>
      <c r="I5" s="26"/>
      <c r="J5" s="26"/>
      <c r="K5" s="26"/>
      <c r="L5" s="26"/>
      <c r="M5" s="26"/>
    </row>
    <row r="6" spans="1:13" ht="14.5" customHeight="1" x14ac:dyDescent="0.35">
      <c r="B6" s="11" t="s">
        <v>84</v>
      </c>
      <c r="C6" s="10" t="str">
        <f>'Scoring Summary'!C6</f>
        <v>&lt;Evaluator to complete&gt;</v>
      </c>
      <c r="D6" s="26"/>
      <c r="E6" s="26"/>
      <c r="F6" s="26"/>
      <c r="G6" s="26"/>
      <c r="H6" s="26"/>
      <c r="I6" s="26"/>
      <c r="J6" s="26"/>
      <c r="K6" s="26"/>
      <c r="L6" s="26"/>
      <c r="M6" s="26"/>
    </row>
    <row r="7" spans="1:13" ht="27.65" customHeight="1" x14ac:dyDescent="0.35">
      <c r="B7" s="11" t="s">
        <v>85</v>
      </c>
      <c r="C7" s="10"/>
      <c r="D7" s="26"/>
      <c r="E7" s="26"/>
      <c r="F7" s="26"/>
      <c r="G7" s="26"/>
      <c r="H7" s="26"/>
      <c r="I7" s="26"/>
      <c r="J7" s="26"/>
      <c r="K7" s="26"/>
      <c r="L7" s="26"/>
      <c r="M7" s="26"/>
    </row>
    <row r="8" spans="1:13" ht="12" customHeight="1" x14ac:dyDescent="0.25"/>
    <row r="10" spans="1:13" x14ac:dyDescent="0.25">
      <c r="B10" s="25"/>
      <c r="C10" s="25"/>
      <c r="D10" s="25"/>
      <c r="E10" s="25"/>
      <c r="F10" s="25"/>
      <c r="G10" s="25"/>
      <c r="H10" s="25"/>
    </row>
    <row r="12" spans="1:13" x14ac:dyDescent="0.25">
      <c r="B12" s="25"/>
      <c r="C12" s="25"/>
      <c r="D12" s="25"/>
      <c r="E12" s="25"/>
      <c r="F12" s="25"/>
      <c r="G12" s="25"/>
      <c r="H12" s="25"/>
    </row>
    <row r="13" spans="1:13" ht="11" thickBot="1" x14ac:dyDescent="0.3">
      <c r="B13" s="25"/>
      <c r="C13" s="25"/>
      <c r="D13" s="25"/>
      <c r="E13" s="25"/>
      <c r="F13" s="25"/>
      <c r="G13" s="25"/>
      <c r="H13" s="25"/>
    </row>
    <row r="14" spans="1:13" ht="14.5" customHeight="1" x14ac:dyDescent="0.2">
      <c r="A14" s="315" t="s">
        <v>14</v>
      </c>
      <c r="B14" s="317" t="s">
        <v>15</v>
      </c>
      <c r="C14" s="318"/>
      <c r="D14" s="319" t="s">
        <v>16</v>
      </c>
      <c r="E14" s="320"/>
      <c r="F14" s="321"/>
      <c r="G14" s="62"/>
      <c r="H14" s="62"/>
      <c r="I14" s="61" t="s">
        <v>17</v>
      </c>
      <c r="J14" s="60"/>
      <c r="K14" s="60"/>
      <c r="L14" s="60"/>
      <c r="M14" s="59"/>
    </row>
    <row r="15" spans="1:13" s="29" customFormat="1" ht="58.4" customHeight="1" x14ac:dyDescent="0.35">
      <c r="A15" s="316"/>
      <c r="B15" s="187" t="s">
        <v>95</v>
      </c>
      <c r="C15" s="57" t="s">
        <v>19</v>
      </c>
      <c r="D15" s="125"/>
      <c r="E15" s="174"/>
      <c r="F15" s="175" t="s">
        <v>22</v>
      </c>
      <c r="G15" s="67" t="s">
        <v>23</v>
      </c>
      <c r="H15" s="181" t="s">
        <v>24</v>
      </c>
      <c r="I15" s="124" t="s">
        <v>25</v>
      </c>
      <c r="J15" s="182" t="s">
        <v>26</v>
      </c>
      <c r="K15" s="183" t="s">
        <v>27</v>
      </c>
      <c r="L15" s="184" t="s">
        <v>28</v>
      </c>
      <c r="M15" s="185" t="s">
        <v>29</v>
      </c>
    </row>
    <row r="16" spans="1:13" s="46" customFormat="1" ht="48" customHeight="1" x14ac:dyDescent="0.35">
      <c r="A16" s="952">
        <v>1</v>
      </c>
      <c r="B16" s="940" t="s">
        <v>419</v>
      </c>
      <c r="C16" s="698" t="s">
        <v>420</v>
      </c>
      <c r="D16" s="652"/>
      <c r="E16" s="950"/>
      <c r="F16" s="953"/>
      <c r="G16" s="513" t="s">
        <v>73</v>
      </c>
      <c r="H16" s="423">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5</v>
      </c>
      <c r="I16" s="425">
        <f>(H16/$H$60)/_xlfn.XLOOKUP('Scoring Summary'!$D$18,'Response Guidelines'!$D$91:$D$190,'Response Guidelines'!$C$91:$C$190,"",0,1)</f>
        <v>4.6296296296295834E-3</v>
      </c>
      <c r="J16" s="177" t="s">
        <v>421</v>
      </c>
      <c r="K16" s="176">
        <f>I16</f>
        <v>4.6296296296295834E-3</v>
      </c>
      <c r="L16" s="496"/>
      <c r="M16" s="519"/>
    </row>
    <row r="17" spans="1:13" s="46" customFormat="1" ht="79.5" customHeight="1" x14ac:dyDescent="0.35">
      <c r="A17" s="853"/>
      <c r="B17" s="405"/>
      <c r="C17" s="707"/>
      <c r="D17" s="526"/>
      <c r="E17" s="909"/>
      <c r="F17" s="954"/>
      <c r="G17" s="514"/>
      <c r="H17" s="310"/>
      <c r="I17" s="450"/>
      <c r="J17" s="186" t="s">
        <v>422</v>
      </c>
      <c r="K17" s="40">
        <v>0</v>
      </c>
      <c r="L17" s="508"/>
      <c r="M17" s="560"/>
    </row>
    <row r="18" spans="1:13" s="29" customFormat="1" ht="52.5" customHeight="1" x14ac:dyDescent="0.35">
      <c r="A18" s="864">
        <v>2</v>
      </c>
      <c r="B18" s="940" t="s">
        <v>423</v>
      </c>
      <c r="C18" s="698" t="s">
        <v>424</v>
      </c>
      <c r="D18" s="652"/>
      <c r="E18" s="950"/>
      <c r="F18" s="953"/>
      <c r="G18" s="513" t="s">
        <v>73</v>
      </c>
      <c r="H18" s="423">
        <f>IF(G18='Response Guidelines'!$D$80,'Response Guidelines'!$C$80, IF(G18='Response Guidelines'!$D$81,'Response Guidelines'!$C$81,IF(G18='Response Guidelines'!$D$82,'Response Guidelines'!$C$82,IF(G18='Response Guidelines'!$D$83,'Response Guidelines'!$C$83,IF(G18='Response Guidelines'!$D$84,'Response Guidelines'!$C$84,IF(G18='Response Guidelines'!$D$85,'Response Guidelines'!$C$85,IF(G18='Response Guidelines'!$D$86,'Response Guidelines'!$C$86,"No Rating")))))))</f>
        <v>5</v>
      </c>
      <c r="I18" s="425">
        <f>(H18/$H$60)/_xlfn.XLOOKUP('Scoring Summary'!$D$18,'Response Guidelines'!$D$91:$D$190,'Response Guidelines'!$C$91:$C$190,"",0,1)</f>
        <v>4.6296296296295834E-3</v>
      </c>
      <c r="J18" s="177" t="s">
        <v>425</v>
      </c>
      <c r="K18" s="176">
        <f>I18</f>
        <v>4.6296296296295834E-3</v>
      </c>
      <c r="L18" s="496"/>
      <c r="M18" s="519"/>
    </row>
    <row r="19" spans="1:13" s="29" customFormat="1" ht="51.75" customHeight="1" x14ac:dyDescent="0.35">
      <c r="A19" s="864"/>
      <c r="B19" s="406"/>
      <c r="C19" s="720"/>
      <c r="D19" s="949"/>
      <c r="E19" s="951"/>
      <c r="F19" s="955"/>
      <c r="G19" s="515"/>
      <c r="H19" s="424"/>
      <c r="I19" s="426"/>
      <c r="J19" s="179" t="s">
        <v>426</v>
      </c>
      <c r="K19" s="178">
        <v>0</v>
      </c>
      <c r="L19" s="497"/>
      <c r="M19" s="521"/>
    </row>
    <row r="20" spans="1:13" s="29" customFormat="1" ht="58.5" customHeight="1" x14ac:dyDescent="0.35">
      <c r="A20" s="337">
        <v>3</v>
      </c>
      <c r="B20" s="945" t="s">
        <v>427</v>
      </c>
      <c r="C20" s="946" t="s">
        <v>428</v>
      </c>
      <c r="D20" s="525"/>
      <c r="E20" s="948"/>
      <c r="F20" s="527"/>
      <c r="G20" s="380" t="s">
        <v>73</v>
      </c>
      <c r="H20" s="310">
        <f>IF(G20='Response Guidelines'!$D$80,'Response Guidelines'!$C$80, IF(G20='Response Guidelines'!$D$81,'Response Guidelines'!$C$81,IF(G20='Response Guidelines'!$D$82,'Response Guidelines'!$C$82,IF(G20='Response Guidelines'!$D$83,'Response Guidelines'!$C$83,IF(G20='Response Guidelines'!$D$84,'Response Guidelines'!$C$84,IF(G20='Response Guidelines'!$D$85,'Response Guidelines'!$C$85,IF(G20='Response Guidelines'!$D$86,'Response Guidelines'!$C$86,"No Rating")))))))</f>
        <v>5</v>
      </c>
      <c r="I20" s="311">
        <f>(H20/$H$60)/_xlfn.XLOOKUP('Scoring Summary'!$D$18,'Response Guidelines'!$D$91:$D$190,'Response Guidelines'!$C$91:$C$190,"",0,1)</f>
        <v>4.6296296296295834E-3</v>
      </c>
      <c r="J20" s="43" t="s">
        <v>429</v>
      </c>
      <c r="K20" s="42">
        <f>I20</f>
        <v>4.6296296296295834E-3</v>
      </c>
      <c r="L20" s="313"/>
      <c r="M20" s="694"/>
    </row>
    <row r="21" spans="1:13" s="29" customFormat="1" ht="87" customHeight="1" x14ac:dyDescent="0.35">
      <c r="A21" s="789"/>
      <c r="B21" s="933"/>
      <c r="C21" s="947"/>
      <c r="D21" s="526"/>
      <c r="E21" s="909"/>
      <c r="F21" s="939"/>
      <c r="G21" s="380"/>
      <c r="H21" s="310"/>
      <c r="I21" s="450"/>
      <c r="J21" s="190" t="s">
        <v>430</v>
      </c>
      <c r="K21" s="40">
        <v>0</v>
      </c>
      <c r="L21" s="508"/>
      <c r="M21" s="711"/>
    </row>
    <row r="22" spans="1:13" s="29" customFormat="1" ht="46.5" customHeight="1" x14ac:dyDescent="0.35">
      <c r="A22" s="915">
        <v>4</v>
      </c>
      <c r="B22" s="940" t="s">
        <v>431</v>
      </c>
      <c r="C22" s="941" t="s">
        <v>432</v>
      </c>
      <c r="D22" s="628"/>
      <c r="E22" s="943"/>
      <c r="F22" s="900"/>
      <c r="G22" s="681" t="s">
        <v>73</v>
      </c>
      <c r="H22" s="423">
        <f>IF(G22='Response Guidelines'!$D$80,'Response Guidelines'!$C$80, IF(G22='Response Guidelines'!$D$81,'Response Guidelines'!$C$81,IF(G22='Response Guidelines'!$D$82,'Response Guidelines'!$C$82,IF(G22='Response Guidelines'!$D$83,'Response Guidelines'!$C$83,IF(G22='Response Guidelines'!$D$84,'Response Guidelines'!$C$84,IF(G22='Response Guidelines'!$D$85,'Response Guidelines'!$C$85,IF(G22='Response Guidelines'!$D$86,'Response Guidelines'!$C$86,"No Rating")))))))</f>
        <v>5</v>
      </c>
      <c r="I22" s="425">
        <f>(H22/$H$60)/_xlfn.XLOOKUP('Scoring Summary'!$D$18,'Response Guidelines'!$D$91:$D$190,'Response Guidelines'!$C$91:$C$190,"",0,1)</f>
        <v>4.6296296296295834E-3</v>
      </c>
      <c r="J22" s="188" t="s">
        <v>433</v>
      </c>
      <c r="K22" s="176">
        <f>I22</f>
        <v>4.6296296296295834E-3</v>
      </c>
      <c r="L22" s="496"/>
      <c r="M22" s="453"/>
    </row>
    <row r="23" spans="1:13" s="29" customFormat="1" ht="70.5" customHeight="1" x14ac:dyDescent="0.35">
      <c r="A23" s="916"/>
      <c r="B23" s="406"/>
      <c r="C23" s="942"/>
      <c r="D23" s="629"/>
      <c r="E23" s="944"/>
      <c r="F23" s="938"/>
      <c r="G23" s="712"/>
      <c r="H23" s="424"/>
      <c r="I23" s="426"/>
      <c r="J23" s="189" t="s">
        <v>434</v>
      </c>
      <c r="K23" s="178">
        <v>0</v>
      </c>
      <c r="L23" s="497"/>
      <c r="M23" s="455"/>
    </row>
    <row r="24" spans="1:13" s="29" customFormat="1" ht="61.5" customHeight="1" x14ac:dyDescent="0.35">
      <c r="A24" s="337">
        <v>5</v>
      </c>
      <c r="B24" s="932" t="s">
        <v>435</v>
      </c>
      <c r="C24" s="728" t="s">
        <v>436</v>
      </c>
      <c r="D24" s="921"/>
      <c r="E24" s="936"/>
      <c r="F24" s="902"/>
      <c r="G24" s="380" t="s">
        <v>73</v>
      </c>
      <c r="H24" s="310">
        <f>IF(G24='Response Guidelines'!$D$80,'Response Guidelines'!$C$80, IF(G24='Response Guidelines'!$D$81,'Response Guidelines'!$C$81,IF(G24='Response Guidelines'!$D$82,'Response Guidelines'!$C$82,IF(G24='Response Guidelines'!$D$83,'Response Guidelines'!$C$83,IF(G24='Response Guidelines'!$D$84,'Response Guidelines'!$C$84,IF(G24='Response Guidelines'!$D$85,'Response Guidelines'!$C$85,IF(G24='Response Guidelines'!$D$86,'Response Guidelines'!$C$86,"No Rating")))))))</f>
        <v>5</v>
      </c>
      <c r="I24" s="311">
        <f>(H24/$H$60)/_xlfn.XLOOKUP('Scoring Summary'!$D$18,'Response Guidelines'!$D$91:$D$190,'Response Guidelines'!$C$91:$C$190,"",0,1)</f>
        <v>4.6296296296295834E-3</v>
      </c>
      <c r="J24" s="43" t="s">
        <v>437</v>
      </c>
      <c r="K24" s="42">
        <f>I24</f>
        <v>4.6296296296295834E-3</v>
      </c>
      <c r="L24" s="313"/>
      <c r="M24" s="694"/>
    </row>
    <row r="25" spans="1:13" s="29" customFormat="1" ht="77.25" customHeight="1" x14ac:dyDescent="0.35">
      <c r="A25" s="337"/>
      <c r="B25" s="933"/>
      <c r="C25" s="935"/>
      <c r="D25" s="922"/>
      <c r="E25" s="937"/>
      <c r="F25" s="902"/>
      <c r="G25" s="380"/>
      <c r="H25" s="310"/>
      <c r="I25" s="450"/>
      <c r="J25" s="160" t="s">
        <v>438</v>
      </c>
      <c r="K25" s="40">
        <v>0</v>
      </c>
      <c r="L25" s="508"/>
      <c r="M25" s="711"/>
    </row>
    <row r="26" spans="1:13" s="29" customFormat="1" ht="74.25" customHeight="1" x14ac:dyDescent="0.35">
      <c r="A26" s="903">
        <v>6</v>
      </c>
      <c r="B26" s="926" t="s">
        <v>439</v>
      </c>
      <c r="C26" s="927" t="s">
        <v>440</v>
      </c>
      <c r="D26" s="929"/>
      <c r="E26" s="896"/>
      <c r="F26" s="898"/>
      <c r="G26" s="681" t="s">
        <v>73</v>
      </c>
      <c r="H26" s="423">
        <f>IF(G26='Response Guidelines'!$D$80,'Response Guidelines'!$C$80, IF(G26='Response Guidelines'!$D$81,'Response Guidelines'!$C$81,IF(G26='Response Guidelines'!$D$82,'Response Guidelines'!$C$82,IF(G26='Response Guidelines'!$D$83,'Response Guidelines'!$C$83,IF(G26='Response Guidelines'!$D$84,'Response Guidelines'!$C$84,IF(G26='Response Guidelines'!$D$85,'Response Guidelines'!$C$85,IF(G26='Response Guidelines'!$D$86,'Response Guidelines'!$C$86,"No Rating")))))))</f>
        <v>5</v>
      </c>
      <c r="I26" s="425">
        <f>(H26/$H$60)/_xlfn.XLOOKUP('Scoring Summary'!$D$18,'Response Guidelines'!$D$91:$D$190,'Response Guidelines'!$C$91:$C$190,"",0,1)</f>
        <v>4.6296296296295834E-3</v>
      </c>
      <c r="J26" s="188" t="s">
        <v>441</v>
      </c>
      <c r="K26" s="176">
        <f>I26</f>
        <v>4.6296296296295834E-3</v>
      </c>
      <c r="L26" s="496"/>
      <c r="M26" s="453"/>
    </row>
    <row r="27" spans="1:13" s="29" customFormat="1" ht="103.5" customHeight="1" x14ac:dyDescent="0.35">
      <c r="A27" s="864"/>
      <c r="B27" s="406"/>
      <c r="C27" s="928"/>
      <c r="D27" s="930"/>
      <c r="E27" s="931"/>
      <c r="F27" s="899"/>
      <c r="G27" s="712"/>
      <c r="H27" s="424"/>
      <c r="I27" s="426"/>
      <c r="J27" s="189" t="s">
        <v>442</v>
      </c>
      <c r="K27" s="178">
        <v>0</v>
      </c>
      <c r="L27" s="497"/>
      <c r="M27" s="455"/>
    </row>
    <row r="28" spans="1:13" s="29" customFormat="1" ht="67.5" customHeight="1" x14ac:dyDescent="0.35">
      <c r="A28" s="337">
        <v>7</v>
      </c>
      <c r="B28" s="932" t="s">
        <v>443</v>
      </c>
      <c r="C28" s="934" t="s">
        <v>444</v>
      </c>
      <c r="D28" s="921"/>
      <c r="E28" s="913"/>
      <c r="F28" s="902"/>
      <c r="G28" s="380" t="s">
        <v>73</v>
      </c>
      <c r="H28" s="310">
        <f>IF(G28='Response Guidelines'!$D$80,'Response Guidelines'!$C$80, IF(G28='Response Guidelines'!$D$81,'Response Guidelines'!$C$81,IF(G28='Response Guidelines'!$D$82,'Response Guidelines'!$C$82,IF(G28='Response Guidelines'!$D$83,'Response Guidelines'!$C$83,IF(G28='Response Guidelines'!$D$84,'Response Guidelines'!$C$84,IF(G28='Response Guidelines'!$D$85,'Response Guidelines'!$C$85,IF(G28='Response Guidelines'!$D$86,'Response Guidelines'!$C$86,"No Rating")))))))</f>
        <v>5</v>
      </c>
      <c r="I28" s="311">
        <f>(H28/$H$60)/_xlfn.XLOOKUP('Scoring Summary'!$D$18,'Response Guidelines'!$D$91:$D$190,'Response Guidelines'!$C$91:$C$190,"",0,1)</f>
        <v>4.6296296296295834E-3</v>
      </c>
      <c r="J28" s="43" t="s">
        <v>445</v>
      </c>
      <c r="K28" s="42">
        <f>I28</f>
        <v>4.6296296296295834E-3</v>
      </c>
      <c r="L28" s="487"/>
      <c r="M28" s="694"/>
    </row>
    <row r="29" spans="1:13" s="29" customFormat="1" ht="57.75" customHeight="1" x14ac:dyDescent="0.35">
      <c r="A29" s="337"/>
      <c r="B29" s="933"/>
      <c r="C29" s="920"/>
      <c r="D29" s="922"/>
      <c r="E29" s="923"/>
      <c r="F29" s="902"/>
      <c r="G29" s="380"/>
      <c r="H29" s="310"/>
      <c r="I29" s="450"/>
      <c r="J29" s="160" t="s">
        <v>446</v>
      </c>
      <c r="K29" s="40">
        <v>0</v>
      </c>
      <c r="L29" s="487"/>
      <c r="M29" s="711"/>
    </row>
    <row r="30" spans="1:13" s="29" customFormat="1" ht="62.25" customHeight="1" x14ac:dyDescent="0.35">
      <c r="A30" s="903">
        <v>8</v>
      </c>
      <c r="B30" s="926" t="s">
        <v>447</v>
      </c>
      <c r="C30" s="927" t="s">
        <v>448</v>
      </c>
      <c r="D30" s="929"/>
      <c r="E30" s="896"/>
      <c r="F30" s="924"/>
      <c r="G30" s="681" t="s">
        <v>73</v>
      </c>
      <c r="H30" s="423">
        <f>IF(G30='Response Guidelines'!$D$80,'Response Guidelines'!$C$80, IF(G30='Response Guidelines'!$D$81,'Response Guidelines'!$C$81,IF(G30='Response Guidelines'!$D$82,'Response Guidelines'!$C$82,IF(G30='Response Guidelines'!$D$83,'Response Guidelines'!$C$83,IF(G30='Response Guidelines'!$D$84,'Response Guidelines'!$C$84,IF(G30='Response Guidelines'!$D$85,'Response Guidelines'!$C$85,IF(G30='Response Guidelines'!$D$86,'Response Guidelines'!$C$86,"No Rating")))))))</f>
        <v>5</v>
      </c>
      <c r="I30" s="425">
        <f>(H30/$H$60)/_xlfn.XLOOKUP('Scoring Summary'!$D$18,'Response Guidelines'!$D$91:$D$190,'Response Guidelines'!$C$91:$C$190,"",0,1)</f>
        <v>4.6296296296295834E-3</v>
      </c>
      <c r="J30" s="188" t="s">
        <v>449</v>
      </c>
      <c r="K30" s="176">
        <f>I30</f>
        <v>4.6296296296295834E-3</v>
      </c>
      <c r="L30" s="496"/>
      <c r="M30" s="519"/>
    </row>
    <row r="31" spans="1:13" s="29" customFormat="1" ht="45.75" customHeight="1" x14ac:dyDescent="0.35">
      <c r="A31" s="864"/>
      <c r="B31" s="406"/>
      <c r="C31" s="928"/>
      <c r="D31" s="930"/>
      <c r="E31" s="931"/>
      <c r="F31" s="925"/>
      <c r="G31" s="712"/>
      <c r="H31" s="424"/>
      <c r="I31" s="426"/>
      <c r="J31" s="189" t="s">
        <v>450</v>
      </c>
      <c r="K31" s="178">
        <v>0</v>
      </c>
      <c r="L31" s="497"/>
      <c r="M31" s="521"/>
    </row>
    <row r="32" spans="1:13" s="29" customFormat="1" ht="45.75" customHeight="1" x14ac:dyDescent="0.35">
      <c r="A32" s="337">
        <v>9</v>
      </c>
      <c r="B32" s="918" t="s">
        <v>451</v>
      </c>
      <c r="C32" s="911" t="s">
        <v>452</v>
      </c>
      <c r="D32" s="921"/>
      <c r="E32" s="913"/>
      <c r="F32" s="902"/>
      <c r="G32" s="380" t="s">
        <v>73</v>
      </c>
      <c r="H32" s="310">
        <f>IF(G32='Response Guidelines'!$D$80,'Response Guidelines'!$C$80, IF(G32='Response Guidelines'!$D$81,'Response Guidelines'!$C$81,IF(G32='Response Guidelines'!$D$82,'Response Guidelines'!$C$82,IF(G32='Response Guidelines'!$D$83,'Response Guidelines'!$C$83,IF(G32='Response Guidelines'!$D$84,'Response Guidelines'!$C$84,IF(G32='Response Guidelines'!$D$85,'Response Guidelines'!$C$85,IF(G32='Response Guidelines'!$D$86,'Response Guidelines'!$C$86,"No Rating")))))))</f>
        <v>5</v>
      </c>
      <c r="I32" s="311">
        <f>(H32/$H$60)/_xlfn.XLOOKUP('Scoring Summary'!$D$18,'Response Guidelines'!$D$91:$D$190,'Response Guidelines'!$C$91:$C$190,"",0,1)</f>
        <v>4.6296296296295834E-3</v>
      </c>
      <c r="J32" s="43" t="s">
        <v>453</v>
      </c>
      <c r="K32" s="42">
        <f>I32</f>
        <v>4.6296296296295834E-3</v>
      </c>
      <c r="L32" s="313"/>
      <c r="M32" s="694"/>
    </row>
    <row r="33" spans="1:13" s="29" customFormat="1" ht="61.5" customHeight="1" x14ac:dyDescent="0.35">
      <c r="A33" s="789"/>
      <c r="B33" s="919"/>
      <c r="C33" s="920"/>
      <c r="D33" s="922"/>
      <c r="E33" s="923"/>
      <c r="F33" s="902"/>
      <c r="G33" s="380"/>
      <c r="H33" s="310"/>
      <c r="I33" s="450"/>
      <c r="J33" s="160" t="s">
        <v>454</v>
      </c>
      <c r="K33" s="40">
        <v>0</v>
      </c>
      <c r="L33" s="508"/>
      <c r="M33" s="711"/>
    </row>
    <row r="34" spans="1:13" s="29" customFormat="1" ht="48.75" customHeight="1" x14ac:dyDescent="0.35">
      <c r="A34" s="915">
        <v>10</v>
      </c>
      <c r="B34" s="905" t="s">
        <v>455</v>
      </c>
      <c r="C34" s="893" t="s">
        <v>456</v>
      </c>
      <c r="D34" s="894"/>
      <c r="E34" s="896"/>
      <c r="F34" s="898"/>
      <c r="G34" s="681" t="s">
        <v>73</v>
      </c>
      <c r="H34" s="423">
        <f>IF(G34='Response Guidelines'!$D$80,'Response Guidelines'!$C$80, IF(G34='Response Guidelines'!$D$81,'Response Guidelines'!$C$81,IF(G34='Response Guidelines'!$D$82,'Response Guidelines'!$C$82,IF(G34='Response Guidelines'!$D$83,'Response Guidelines'!$C$83,IF(G34='Response Guidelines'!$D$84,'Response Guidelines'!$C$84,IF(G34='Response Guidelines'!$D$85,'Response Guidelines'!$C$85,IF(G34='Response Guidelines'!$D$86,'Response Guidelines'!$C$86,"No Rating")))))))</f>
        <v>5</v>
      </c>
      <c r="I34" s="425">
        <f>(H34/$H$60)/_xlfn.XLOOKUP('Scoring Summary'!$D$18,'Response Guidelines'!$D$91:$D$190,'Response Guidelines'!$C$91:$C$190,"",0,1)</f>
        <v>4.6296296296295834E-3</v>
      </c>
      <c r="J34" s="188" t="s">
        <v>457</v>
      </c>
      <c r="K34" s="176">
        <f>I34</f>
        <v>4.6296296296295834E-3</v>
      </c>
      <c r="L34" s="496"/>
      <c r="M34" s="453"/>
    </row>
    <row r="35" spans="1:13" s="29" customFormat="1" ht="36.75" customHeight="1" x14ac:dyDescent="0.35">
      <c r="A35" s="916"/>
      <c r="B35" s="917"/>
      <c r="C35" s="699"/>
      <c r="D35" s="895"/>
      <c r="E35" s="897"/>
      <c r="F35" s="899"/>
      <c r="G35" s="712"/>
      <c r="H35" s="424"/>
      <c r="I35" s="426"/>
      <c r="J35" s="189" t="s">
        <v>458</v>
      </c>
      <c r="K35" s="178">
        <v>0</v>
      </c>
      <c r="L35" s="497"/>
      <c r="M35" s="455"/>
    </row>
    <row r="36" spans="1:13" s="29" customFormat="1" ht="75" customHeight="1" x14ac:dyDescent="0.35">
      <c r="A36" s="337">
        <v>11</v>
      </c>
      <c r="B36" s="910" t="s">
        <v>459</v>
      </c>
      <c r="C36" s="911" t="s">
        <v>460</v>
      </c>
      <c r="D36" s="912"/>
      <c r="E36" s="913"/>
      <c r="F36" s="902"/>
      <c r="G36" s="380" t="s">
        <v>73</v>
      </c>
      <c r="H36" s="310">
        <f>IF(G36='Response Guidelines'!$D$80,'Response Guidelines'!$C$80, IF(G36='Response Guidelines'!$D$81,'Response Guidelines'!$C$81,IF(G36='Response Guidelines'!$D$82,'Response Guidelines'!$C$82,IF(G36='Response Guidelines'!$D$83,'Response Guidelines'!$C$83,IF(G36='Response Guidelines'!$D$84,'Response Guidelines'!$C$84,IF(G36='Response Guidelines'!$D$85,'Response Guidelines'!$C$85,IF(G36='Response Guidelines'!$D$86,'Response Guidelines'!$C$86,"No Rating")))))))</f>
        <v>5</v>
      </c>
      <c r="I36" s="311">
        <f>(H36/$H$60)/_xlfn.XLOOKUP('Scoring Summary'!$D$18,'Response Guidelines'!$D$91:$D$190,'Response Guidelines'!$C$91:$C$190,"",0,1)</f>
        <v>4.6296296296295834E-3</v>
      </c>
      <c r="J36" s="43" t="s">
        <v>461</v>
      </c>
      <c r="K36" s="42">
        <f>I36</f>
        <v>4.6296296296295834E-3</v>
      </c>
      <c r="L36" s="313"/>
      <c r="M36" s="694"/>
    </row>
    <row r="37" spans="1:13" s="29" customFormat="1" ht="99" customHeight="1" x14ac:dyDescent="0.35">
      <c r="A37" s="337"/>
      <c r="B37" s="711"/>
      <c r="C37" s="708"/>
      <c r="D37" s="907"/>
      <c r="E37" s="914"/>
      <c r="F37" s="902"/>
      <c r="G37" s="380"/>
      <c r="H37" s="310"/>
      <c r="I37" s="450"/>
      <c r="J37" s="160" t="s">
        <v>462</v>
      </c>
      <c r="K37" s="40">
        <v>0</v>
      </c>
      <c r="L37" s="508"/>
      <c r="M37" s="711"/>
    </row>
    <row r="38" spans="1:13" s="29" customFormat="1" ht="46.5" customHeight="1" x14ac:dyDescent="0.35">
      <c r="A38" s="903">
        <v>12</v>
      </c>
      <c r="B38" s="905" t="s">
        <v>463</v>
      </c>
      <c r="C38" s="893" t="s">
        <v>464</v>
      </c>
      <c r="D38" s="894"/>
      <c r="E38" s="908"/>
      <c r="F38" s="900"/>
      <c r="G38" s="681" t="s">
        <v>73</v>
      </c>
      <c r="H38" s="423">
        <f>IF(G38='Response Guidelines'!$D$80,'Response Guidelines'!$C$80, IF(G38='Response Guidelines'!$D$81,'Response Guidelines'!$C$81,IF(G38='Response Guidelines'!$D$82,'Response Guidelines'!$C$82,IF(G38='Response Guidelines'!$D$83,'Response Guidelines'!$C$83,IF(G38='Response Guidelines'!$D$84,'Response Guidelines'!$C$84,IF(G38='Response Guidelines'!$D$85,'Response Guidelines'!$C$85,IF(G38='Response Guidelines'!$D$86,'Response Guidelines'!$C$86,"No Rating")))))))</f>
        <v>5</v>
      </c>
      <c r="I38" s="425">
        <f>(H38/$H$60)/_xlfn.XLOOKUP('Scoring Summary'!$D$18,'Response Guidelines'!$D$91:$D$190,'Response Guidelines'!$C$91:$C$190,"",0,1)</f>
        <v>4.6296296296295834E-3</v>
      </c>
      <c r="J38" s="188" t="s">
        <v>465</v>
      </c>
      <c r="K38" s="176">
        <f>I38</f>
        <v>4.6296296296295834E-3</v>
      </c>
      <c r="L38" s="496"/>
      <c r="M38" s="453"/>
    </row>
    <row r="39" spans="1:13" s="29" customFormat="1" ht="48.75" customHeight="1" x14ac:dyDescent="0.35">
      <c r="A39" s="904"/>
      <c r="B39" s="906"/>
      <c r="C39" s="708"/>
      <c r="D39" s="907"/>
      <c r="E39" s="909"/>
      <c r="F39" s="901"/>
      <c r="G39" s="380"/>
      <c r="H39" s="310"/>
      <c r="I39" s="450"/>
      <c r="J39" s="160" t="s">
        <v>466</v>
      </c>
      <c r="K39" s="40">
        <v>0</v>
      </c>
      <c r="L39" s="508"/>
      <c r="M39" s="510"/>
    </row>
    <row r="40" spans="1:13" s="29" customFormat="1" ht="30.75" customHeight="1" x14ac:dyDescent="0.2">
      <c r="A40" s="889">
        <v>13</v>
      </c>
      <c r="B40" s="891" t="s">
        <v>467</v>
      </c>
      <c r="C40" s="893" t="s">
        <v>468</v>
      </c>
      <c r="D40" s="894"/>
      <c r="E40" s="896"/>
      <c r="F40" s="898"/>
      <c r="G40" s="681" t="s">
        <v>73</v>
      </c>
      <c r="H40" s="423">
        <f>IF(G40='Response Guidelines'!$D$80,'Response Guidelines'!$C$80, IF(G40='Response Guidelines'!$D$81,'Response Guidelines'!$C$81,IF(G40='Response Guidelines'!$D$82,'Response Guidelines'!$C$82,IF(G40='Response Guidelines'!$D$83,'Response Guidelines'!$C$83,IF(G40='Response Guidelines'!$D$84,'Response Guidelines'!$C$84,IF(G40='Response Guidelines'!$D$85,'Response Guidelines'!$C$85,IF(G40='Response Guidelines'!$D$86,'Response Guidelines'!$C$86,"No Rating")))))))</f>
        <v>5</v>
      </c>
      <c r="I40" s="425">
        <f>(H40/$H$60)/_xlfn.XLOOKUP('Scoring Summary'!$D$18,'Response Guidelines'!$D$91:$D$190,'Response Guidelines'!$C$91:$C$190,"",0,1)</f>
        <v>4.6296296296295834E-3</v>
      </c>
      <c r="J40" s="213" t="s">
        <v>469</v>
      </c>
      <c r="K40" s="176">
        <f>I40</f>
        <v>4.6296296296295834E-3</v>
      </c>
      <c r="L40" s="496"/>
      <c r="M40" s="453"/>
    </row>
    <row r="41" spans="1:13" s="29" customFormat="1" ht="73.5" customHeight="1" x14ac:dyDescent="0.2">
      <c r="A41" s="890"/>
      <c r="B41" s="892"/>
      <c r="C41" s="699"/>
      <c r="D41" s="895"/>
      <c r="E41" s="897"/>
      <c r="F41" s="899"/>
      <c r="G41" s="712"/>
      <c r="H41" s="424"/>
      <c r="I41" s="426"/>
      <c r="J41" s="262" t="s">
        <v>470</v>
      </c>
      <c r="K41" s="178">
        <v>0</v>
      </c>
      <c r="L41" s="497"/>
      <c r="M41" s="455"/>
    </row>
    <row r="42" spans="1:13" s="29" customFormat="1" ht="51" customHeight="1" x14ac:dyDescent="0.2">
      <c r="A42" s="889">
        <v>14</v>
      </c>
      <c r="B42" s="891" t="s">
        <v>471</v>
      </c>
      <c r="C42" s="893" t="s">
        <v>472</v>
      </c>
      <c r="D42" s="894"/>
      <c r="E42" s="896"/>
      <c r="F42" s="898"/>
      <c r="G42" s="681" t="s">
        <v>73</v>
      </c>
      <c r="H42" s="423">
        <f>IF(G42='Response Guidelines'!$D$80,'Response Guidelines'!$C$80, IF(G42='Response Guidelines'!$D$81,'Response Guidelines'!$C$81,IF(G42='Response Guidelines'!$D$82,'Response Guidelines'!$C$82,IF(G42='Response Guidelines'!$D$83,'Response Guidelines'!$C$83,IF(G42='Response Guidelines'!$D$84,'Response Guidelines'!$C$84,IF(G42='Response Guidelines'!$D$85,'Response Guidelines'!$C$85,IF(G42='Response Guidelines'!$D$86,'Response Guidelines'!$C$86,"No Rating")))))))</f>
        <v>5</v>
      </c>
      <c r="I42" s="425">
        <f>(H42/$H$60)/_xlfn.XLOOKUP('Scoring Summary'!$D$18,'Response Guidelines'!$D$91:$D$190,'Response Guidelines'!$C$91:$C$190,"",0,1)</f>
        <v>4.6296296296295834E-3</v>
      </c>
      <c r="J42" s="213" t="s">
        <v>473</v>
      </c>
      <c r="K42" s="176">
        <f>I42</f>
        <v>4.6296296296295834E-3</v>
      </c>
      <c r="L42" s="496"/>
      <c r="M42" s="453"/>
    </row>
    <row r="43" spans="1:13" ht="48.75" customHeight="1" x14ac:dyDescent="0.2">
      <c r="A43" s="890"/>
      <c r="B43" s="892"/>
      <c r="C43" s="699"/>
      <c r="D43" s="895"/>
      <c r="E43" s="897"/>
      <c r="F43" s="899"/>
      <c r="G43" s="712"/>
      <c r="H43" s="424"/>
      <c r="I43" s="426"/>
      <c r="J43" s="262" t="s">
        <v>474</v>
      </c>
      <c r="K43" s="178">
        <v>0</v>
      </c>
      <c r="L43" s="497"/>
      <c r="M43" s="455"/>
    </row>
    <row r="44" spans="1:13" ht="80" x14ac:dyDescent="0.2">
      <c r="A44" s="889">
        <v>15</v>
      </c>
      <c r="B44" s="891" t="s">
        <v>475</v>
      </c>
      <c r="C44" s="893" t="s">
        <v>476</v>
      </c>
      <c r="D44" s="894"/>
      <c r="E44" s="896"/>
      <c r="F44" s="898"/>
      <c r="G44" s="681" t="s">
        <v>33</v>
      </c>
      <c r="H44" s="423">
        <f>IF(G44='Response Guidelines'!$D$80,'Response Guidelines'!$C$80, IF(G44='Response Guidelines'!$D$81,'Response Guidelines'!$C$81,IF(G44='Response Guidelines'!$D$82,'Response Guidelines'!$C$82,IF(G44='Response Guidelines'!$D$83,'Response Guidelines'!$C$83,IF(G44='Response Guidelines'!$D$84,'Response Guidelines'!$C$84,IF(G44='Response Guidelines'!$D$85,'Response Guidelines'!$C$85,IF(G44='Response Guidelines'!$D$86,'Response Guidelines'!$C$86,"No Rating")))))))</f>
        <v>3</v>
      </c>
      <c r="I44" s="425">
        <f>(H44/$H$60)/_xlfn.XLOOKUP('Scoring Summary'!$D$18,'Response Guidelines'!$D$91:$D$190,'Response Guidelines'!$C$91:$C$190,"",0,1)</f>
        <v>2.7777777777777501E-3</v>
      </c>
      <c r="J44" s="213" t="s">
        <v>477</v>
      </c>
      <c r="K44" s="176">
        <f t="shared" ref="K44" si="0">I44</f>
        <v>2.7777777777777501E-3</v>
      </c>
      <c r="L44" s="496"/>
      <c r="M44" s="453"/>
    </row>
    <row r="45" spans="1:13" ht="90.75" customHeight="1" x14ac:dyDescent="0.2">
      <c r="A45" s="890"/>
      <c r="B45" s="892"/>
      <c r="C45" s="699"/>
      <c r="D45" s="895"/>
      <c r="E45" s="897"/>
      <c r="F45" s="899"/>
      <c r="G45" s="712"/>
      <c r="H45" s="424"/>
      <c r="I45" s="426"/>
      <c r="J45" s="262" t="s">
        <v>478</v>
      </c>
      <c r="K45" s="178">
        <v>0</v>
      </c>
      <c r="L45" s="497"/>
      <c r="M45" s="455"/>
    </row>
    <row r="46" spans="1:13" ht="30" x14ac:dyDescent="0.2">
      <c r="A46" s="889">
        <v>16</v>
      </c>
      <c r="B46" s="891" t="s">
        <v>479</v>
      </c>
      <c r="C46" s="893" t="s">
        <v>480</v>
      </c>
      <c r="D46" s="894"/>
      <c r="E46" s="896"/>
      <c r="F46" s="898"/>
      <c r="G46" s="681" t="s">
        <v>73</v>
      </c>
      <c r="H46" s="423">
        <f>IF(G46='Response Guidelines'!$D$80,'Response Guidelines'!$C$80, IF(G46='Response Guidelines'!$D$81,'Response Guidelines'!$C$81,IF(G46='Response Guidelines'!$D$82,'Response Guidelines'!$C$82,IF(G46='Response Guidelines'!$D$83,'Response Guidelines'!$C$83,IF(G46='Response Guidelines'!$D$84,'Response Guidelines'!$C$84,IF(G46='Response Guidelines'!$D$85,'Response Guidelines'!$C$85,IF(G46='Response Guidelines'!$D$86,'Response Guidelines'!$C$86,"No Rating")))))))</f>
        <v>5</v>
      </c>
      <c r="I46" s="425">
        <f>(H46/$H$60)/_xlfn.XLOOKUP('Scoring Summary'!$D$18,'Response Guidelines'!$D$91:$D$190,'Response Guidelines'!$C$91:$C$190,"",0,1)</f>
        <v>4.6296296296295834E-3</v>
      </c>
      <c r="J46" s="213" t="s">
        <v>481</v>
      </c>
      <c r="K46" s="176">
        <f t="shared" ref="K46" si="1">I46</f>
        <v>4.6296296296295834E-3</v>
      </c>
      <c r="L46" s="496"/>
      <c r="M46" s="453"/>
    </row>
    <row r="47" spans="1:13" ht="81.75" customHeight="1" x14ac:dyDescent="0.2">
      <c r="A47" s="890"/>
      <c r="B47" s="892"/>
      <c r="C47" s="699"/>
      <c r="D47" s="895"/>
      <c r="E47" s="897"/>
      <c r="F47" s="899"/>
      <c r="G47" s="712"/>
      <c r="H47" s="424"/>
      <c r="I47" s="426"/>
      <c r="J47" s="262" t="s">
        <v>482</v>
      </c>
      <c r="K47" s="178">
        <v>0</v>
      </c>
      <c r="L47" s="497"/>
      <c r="M47" s="455"/>
    </row>
    <row r="48" spans="1:13" ht="20" x14ac:dyDescent="0.2">
      <c r="A48" s="889">
        <v>17</v>
      </c>
      <c r="B48" s="891" t="s">
        <v>483</v>
      </c>
      <c r="C48" s="893" t="s">
        <v>484</v>
      </c>
      <c r="D48" s="894"/>
      <c r="E48" s="896"/>
      <c r="F48" s="898"/>
      <c r="G48" s="681" t="s">
        <v>73</v>
      </c>
      <c r="H48" s="423">
        <f>IF(G48='Response Guidelines'!$D$80,'Response Guidelines'!$C$80, IF(G48='Response Guidelines'!$D$81,'Response Guidelines'!$C$81,IF(G48='Response Guidelines'!$D$82,'Response Guidelines'!$C$82,IF(G48='Response Guidelines'!$D$83,'Response Guidelines'!$C$83,IF(G48='Response Guidelines'!$D$84,'Response Guidelines'!$C$84,IF(G48='Response Guidelines'!$D$85,'Response Guidelines'!$C$85,IF(G48='Response Guidelines'!$D$86,'Response Guidelines'!$C$86,"No Rating")))))))</f>
        <v>5</v>
      </c>
      <c r="I48" s="425">
        <f>(H48/$H$60)/_xlfn.XLOOKUP('Scoring Summary'!$D$18,'Response Guidelines'!$D$91:$D$190,'Response Guidelines'!$C$91:$C$190,"",0,1)</f>
        <v>4.6296296296295834E-3</v>
      </c>
      <c r="J48" s="213" t="s">
        <v>485</v>
      </c>
      <c r="K48" s="176">
        <f t="shared" ref="K48" si="2">I48</f>
        <v>4.6296296296295834E-3</v>
      </c>
      <c r="L48" s="496"/>
      <c r="M48" s="453"/>
    </row>
    <row r="49" spans="1:13" ht="20" x14ac:dyDescent="0.2">
      <c r="A49" s="890"/>
      <c r="B49" s="892"/>
      <c r="C49" s="699"/>
      <c r="D49" s="895"/>
      <c r="E49" s="897"/>
      <c r="F49" s="899"/>
      <c r="G49" s="712"/>
      <c r="H49" s="424"/>
      <c r="I49" s="426"/>
      <c r="J49" s="262" t="s">
        <v>486</v>
      </c>
      <c r="K49" s="178">
        <v>0</v>
      </c>
      <c r="L49" s="497"/>
      <c r="M49" s="455"/>
    </row>
    <row r="50" spans="1:13" ht="30" x14ac:dyDescent="0.2">
      <c r="A50" s="889">
        <v>18</v>
      </c>
      <c r="B50" s="891" t="s">
        <v>487</v>
      </c>
      <c r="C50" s="893" t="s">
        <v>488</v>
      </c>
      <c r="D50" s="894"/>
      <c r="E50" s="896"/>
      <c r="F50" s="898"/>
      <c r="G50" s="681" t="s">
        <v>73</v>
      </c>
      <c r="H50" s="423">
        <f>IF(G50='Response Guidelines'!$D$80,'Response Guidelines'!$C$80, IF(G50='Response Guidelines'!$D$81,'Response Guidelines'!$C$81,IF(G50='Response Guidelines'!$D$82,'Response Guidelines'!$C$82,IF(G50='Response Guidelines'!$D$83,'Response Guidelines'!$C$83,IF(G50='Response Guidelines'!$D$84,'Response Guidelines'!$C$84,IF(G50='Response Guidelines'!$D$85,'Response Guidelines'!$C$85,IF(G50='Response Guidelines'!$D$86,'Response Guidelines'!$C$86,"No Rating")))))))</f>
        <v>5</v>
      </c>
      <c r="I50" s="425">
        <f>(H50/$H$60)/_xlfn.XLOOKUP('Scoring Summary'!$D$18,'Response Guidelines'!$D$91:$D$190,'Response Guidelines'!$C$91:$C$190,"",0,1)</f>
        <v>4.6296296296295834E-3</v>
      </c>
      <c r="J50" s="213" t="s">
        <v>489</v>
      </c>
      <c r="K50" s="176">
        <f t="shared" ref="K50" si="3">I50</f>
        <v>4.6296296296295834E-3</v>
      </c>
      <c r="L50" s="496"/>
      <c r="M50" s="453"/>
    </row>
    <row r="51" spans="1:13" ht="20" x14ac:dyDescent="0.2">
      <c r="A51" s="890"/>
      <c r="B51" s="892"/>
      <c r="C51" s="699"/>
      <c r="D51" s="895"/>
      <c r="E51" s="897"/>
      <c r="F51" s="899"/>
      <c r="G51" s="712"/>
      <c r="H51" s="424"/>
      <c r="I51" s="426"/>
      <c r="J51" s="262" t="s">
        <v>490</v>
      </c>
      <c r="K51" s="178">
        <v>0</v>
      </c>
      <c r="L51" s="497"/>
      <c r="M51" s="455"/>
    </row>
    <row r="52" spans="1:13" ht="40" x14ac:dyDescent="0.2">
      <c r="A52" s="889">
        <v>19</v>
      </c>
      <c r="B52" s="891" t="s">
        <v>491</v>
      </c>
      <c r="C52" s="893" t="s">
        <v>492</v>
      </c>
      <c r="D52" s="894"/>
      <c r="E52" s="896"/>
      <c r="F52" s="898"/>
      <c r="G52" s="681" t="s">
        <v>73</v>
      </c>
      <c r="H52" s="423">
        <f>IF(G52='Response Guidelines'!$D$80,'Response Guidelines'!$C$80, IF(G52='Response Guidelines'!$D$81,'Response Guidelines'!$C$81,IF(G52='Response Guidelines'!$D$82,'Response Guidelines'!$C$82,IF(G52='Response Guidelines'!$D$83,'Response Guidelines'!$C$83,IF(G52='Response Guidelines'!$D$84,'Response Guidelines'!$C$84,IF(G52='Response Guidelines'!$D$85,'Response Guidelines'!$C$85,IF(G52='Response Guidelines'!$D$86,'Response Guidelines'!$C$86,"No Rating")))))))</f>
        <v>5</v>
      </c>
      <c r="I52" s="425">
        <f>(H52/$H$60)/_xlfn.XLOOKUP('Scoring Summary'!$D$18,'Response Guidelines'!$D$91:$D$190,'Response Guidelines'!$C$91:$C$190,"",0,1)</f>
        <v>4.6296296296295834E-3</v>
      </c>
      <c r="J52" s="213" t="s">
        <v>493</v>
      </c>
      <c r="K52" s="176">
        <f t="shared" ref="K52" si="4">I52</f>
        <v>4.6296296296295834E-3</v>
      </c>
      <c r="L52" s="496"/>
      <c r="M52" s="453"/>
    </row>
    <row r="53" spans="1:13" ht="42.75" customHeight="1" x14ac:dyDescent="0.2">
      <c r="A53" s="890"/>
      <c r="B53" s="892"/>
      <c r="C53" s="699"/>
      <c r="D53" s="895"/>
      <c r="E53" s="897"/>
      <c r="F53" s="899"/>
      <c r="G53" s="712"/>
      <c r="H53" s="424"/>
      <c r="I53" s="426"/>
      <c r="J53" s="262" t="s">
        <v>494</v>
      </c>
      <c r="K53" s="178">
        <v>0</v>
      </c>
      <c r="L53" s="497"/>
      <c r="M53" s="455"/>
    </row>
    <row r="54" spans="1:13" ht="30" x14ac:dyDescent="0.2">
      <c r="A54" s="889">
        <v>20</v>
      </c>
      <c r="B54" s="891" t="s">
        <v>495</v>
      </c>
      <c r="C54" s="893" t="s">
        <v>496</v>
      </c>
      <c r="D54" s="894"/>
      <c r="E54" s="896"/>
      <c r="F54" s="898"/>
      <c r="G54" s="681" t="s">
        <v>73</v>
      </c>
      <c r="H54" s="423">
        <f>IF(G54='Response Guidelines'!$D$80,'Response Guidelines'!$C$80, IF(G54='Response Guidelines'!$D$81,'Response Guidelines'!$C$81,IF(G54='Response Guidelines'!$D$82,'Response Guidelines'!$C$82,IF(G54='Response Guidelines'!$D$83,'Response Guidelines'!$C$83,IF(G54='Response Guidelines'!$D$84,'Response Guidelines'!$C$84,IF(G54='Response Guidelines'!$D$85,'Response Guidelines'!$C$85,IF(G54='Response Guidelines'!$D$86,'Response Guidelines'!$C$86,"No Rating")))))))</f>
        <v>5</v>
      </c>
      <c r="I54" s="425">
        <f>(H54/$H$60)/_xlfn.XLOOKUP('Scoring Summary'!$D$18,'Response Guidelines'!$D$91:$D$190,'Response Guidelines'!$C$91:$C$190,"",0,1)</f>
        <v>4.6296296296295834E-3</v>
      </c>
      <c r="J54" s="213" t="s">
        <v>497</v>
      </c>
      <c r="K54" s="176">
        <f t="shared" ref="K54" si="5">I54</f>
        <v>4.6296296296295834E-3</v>
      </c>
      <c r="L54" s="496"/>
      <c r="M54" s="453"/>
    </row>
    <row r="55" spans="1:13" ht="30" x14ac:dyDescent="0.2">
      <c r="A55" s="890"/>
      <c r="B55" s="892"/>
      <c r="C55" s="699"/>
      <c r="D55" s="895"/>
      <c r="E55" s="897"/>
      <c r="F55" s="899"/>
      <c r="G55" s="712"/>
      <c r="H55" s="424"/>
      <c r="I55" s="426"/>
      <c r="J55" s="262" t="s">
        <v>498</v>
      </c>
      <c r="K55" s="178">
        <v>0</v>
      </c>
      <c r="L55" s="497"/>
      <c r="M55" s="455"/>
    </row>
    <row r="56" spans="1:13" ht="30" x14ac:dyDescent="0.2">
      <c r="A56" s="889">
        <v>21</v>
      </c>
      <c r="B56" s="891" t="s">
        <v>499</v>
      </c>
      <c r="C56" s="893" t="s">
        <v>500</v>
      </c>
      <c r="D56" s="894"/>
      <c r="E56" s="896"/>
      <c r="F56" s="898"/>
      <c r="G56" s="681" t="s">
        <v>37</v>
      </c>
      <c r="H56" s="423">
        <f>IF(G56='Response Guidelines'!$D$80,'Response Guidelines'!$C$80, IF(G56='Response Guidelines'!$D$81,'Response Guidelines'!$C$81,IF(G56='Response Guidelines'!$D$82,'Response Guidelines'!$C$82,IF(G56='Response Guidelines'!$D$83,'Response Guidelines'!$C$83,IF(G56='Response Guidelines'!$D$84,'Response Guidelines'!$C$84,IF(G56='Response Guidelines'!$D$85,'Response Guidelines'!$C$85,IF(G56='Response Guidelines'!$D$86,'Response Guidelines'!$C$86,"No Rating")))))))</f>
        <v>6</v>
      </c>
      <c r="I56" s="425">
        <f>(H56/$H$60)/_xlfn.XLOOKUP('Scoring Summary'!$D$18,'Response Guidelines'!$D$91:$D$190,'Response Guidelines'!$C$91:$C$190,"",0,1)</f>
        <v>5.5555555555555003E-3</v>
      </c>
      <c r="J56" s="213" t="s">
        <v>501</v>
      </c>
      <c r="K56" s="176">
        <f t="shared" ref="K56" si="6">I56</f>
        <v>5.5555555555555003E-3</v>
      </c>
      <c r="L56" s="496"/>
      <c r="M56" s="453"/>
    </row>
    <row r="57" spans="1:13" ht="113.25" customHeight="1" x14ac:dyDescent="0.2">
      <c r="A57" s="890"/>
      <c r="B57" s="892"/>
      <c r="C57" s="699"/>
      <c r="D57" s="895"/>
      <c r="E57" s="897"/>
      <c r="F57" s="899"/>
      <c r="G57" s="712"/>
      <c r="H57" s="424"/>
      <c r="I57" s="426"/>
      <c r="J57" s="262" t="s">
        <v>502</v>
      </c>
      <c r="K57" s="178">
        <v>8</v>
      </c>
      <c r="L57" s="497"/>
      <c r="M57" s="455"/>
    </row>
    <row r="58" spans="1:13" ht="91.5" customHeight="1" x14ac:dyDescent="0.2">
      <c r="A58" s="889">
        <v>22</v>
      </c>
      <c r="B58" s="891" t="s">
        <v>503</v>
      </c>
      <c r="C58" s="893" t="s">
        <v>504</v>
      </c>
      <c r="D58" s="894"/>
      <c r="E58" s="896"/>
      <c r="F58" s="898"/>
      <c r="G58" s="681" t="s">
        <v>72</v>
      </c>
      <c r="H58" s="423">
        <f>IF(G58='Response Guidelines'!$D$80,'Response Guidelines'!$C$80, IF(G58='Response Guidelines'!$D$81,'Response Guidelines'!$C$81,IF(G58='Response Guidelines'!$D$82,'Response Guidelines'!$C$82,IF(G58='Response Guidelines'!$D$83,'Response Guidelines'!$C$83,IF(G58='Response Guidelines'!$D$84,'Response Guidelines'!$C$84,IF(G58='Response Guidelines'!$D$85,'Response Guidelines'!$C$85,IF(G58='Response Guidelines'!$D$86,'Response Guidelines'!$C$86,"No Rating")))))))</f>
        <v>4</v>
      </c>
      <c r="I58" s="425">
        <f>(H58/$H$60)/_xlfn.XLOOKUP('Scoring Summary'!$D$18,'Response Guidelines'!$D$91:$D$190,'Response Guidelines'!$C$91:$C$190,"",0,1)</f>
        <v>3.7037037037036665E-3</v>
      </c>
      <c r="J58" s="213" t="s">
        <v>505</v>
      </c>
      <c r="K58" s="176">
        <f t="shared" ref="K58" si="7">I58</f>
        <v>3.7037037037036665E-3</v>
      </c>
      <c r="L58" s="496"/>
      <c r="M58" s="453"/>
    </row>
    <row r="59" spans="1:13" ht="50" x14ac:dyDescent="0.2">
      <c r="A59" s="890"/>
      <c r="B59" s="892"/>
      <c r="C59" s="699"/>
      <c r="D59" s="895"/>
      <c r="E59" s="897"/>
      <c r="F59" s="899"/>
      <c r="G59" s="712"/>
      <c r="H59" s="424"/>
      <c r="I59" s="426"/>
      <c r="J59" s="262" t="s">
        <v>506</v>
      </c>
      <c r="K59" s="178">
        <v>0</v>
      </c>
      <c r="L59" s="497"/>
      <c r="M59" s="455"/>
    </row>
    <row r="60" spans="1:13" x14ac:dyDescent="0.2">
      <c r="B60" s="34" t="s">
        <v>43</v>
      </c>
      <c r="C60" s="34"/>
      <c r="D60" s="34"/>
      <c r="E60" s="34"/>
      <c r="F60" s="34"/>
      <c r="G60" s="34"/>
      <c r="H60" s="263">
        <f>SUM(H16:H59)</f>
        <v>108</v>
      </c>
      <c r="I60" s="171">
        <f>SUM(I16:I59)</f>
        <v>9.9999999999998979E-2</v>
      </c>
      <c r="J60" s="302" t="s">
        <v>44</v>
      </c>
      <c r="K60" s="303"/>
      <c r="L60" s="71">
        <f>SUM(L16:L59)</f>
        <v>0</v>
      </c>
      <c r="M60" s="30"/>
    </row>
  </sheetData>
  <mergeCells count="247">
    <mergeCell ref="B58:B59"/>
    <mergeCell ref="C58:C59"/>
    <mergeCell ref="A42:A43"/>
    <mergeCell ref="A44:A45"/>
    <mergeCell ref="A46:A47"/>
    <mergeCell ref="A48:A49"/>
    <mergeCell ref="A50:A51"/>
    <mergeCell ref="A52:A53"/>
    <mergeCell ref="A54:A55"/>
    <mergeCell ref="A56:A57"/>
    <mergeCell ref="A58:A59"/>
    <mergeCell ref="L52:L53"/>
    <mergeCell ref="M52:M53"/>
    <mergeCell ref="L54:L55"/>
    <mergeCell ref="M54:M55"/>
    <mergeCell ref="L56:L57"/>
    <mergeCell ref="M56:M57"/>
    <mergeCell ref="L58:L59"/>
    <mergeCell ref="M58:M59"/>
    <mergeCell ref="B42:B43"/>
    <mergeCell ref="C42:C43"/>
    <mergeCell ref="B44:B45"/>
    <mergeCell ref="C44:C45"/>
    <mergeCell ref="B46:B47"/>
    <mergeCell ref="C46:C47"/>
    <mergeCell ref="B48:B49"/>
    <mergeCell ref="C48:C49"/>
    <mergeCell ref="B50:B51"/>
    <mergeCell ref="C50:C51"/>
    <mergeCell ref="B52:B53"/>
    <mergeCell ref="C52:C53"/>
    <mergeCell ref="B54:B55"/>
    <mergeCell ref="C54:C55"/>
    <mergeCell ref="B56:B57"/>
    <mergeCell ref="C56:C57"/>
    <mergeCell ref="L42:L43"/>
    <mergeCell ref="M42:M43"/>
    <mergeCell ref="L44:L45"/>
    <mergeCell ref="M44:M45"/>
    <mergeCell ref="L46:L47"/>
    <mergeCell ref="M46:M47"/>
    <mergeCell ref="L48:L49"/>
    <mergeCell ref="M48:M49"/>
    <mergeCell ref="L50:L51"/>
    <mergeCell ref="M50:M51"/>
    <mergeCell ref="D56:D57"/>
    <mergeCell ref="E56:E57"/>
    <mergeCell ref="F56:F57"/>
    <mergeCell ref="D58:D59"/>
    <mergeCell ref="E58:E59"/>
    <mergeCell ref="F58:F59"/>
    <mergeCell ref="H42:H43"/>
    <mergeCell ref="I42:I43"/>
    <mergeCell ref="H44:H45"/>
    <mergeCell ref="I44:I45"/>
    <mergeCell ref="H46:H47"/>
    <mergeCell ref="I46:I47"/>
    <mergeCell ref="H48:H49"/>
    <mergeCell ref="I48:I49"/>
    <mergeCell ref="H50:H51"/>
    <mergeCell ref="I50:I51"/>
    <mergeCell ref="H52:H53"/>
    <mergeCell ref="I52:I53"/>
    <mergeCell ref="H54:H55"/>
    <mergeCell ref="I54:I55"/>
    <mergeCell ref="H56:H57"/>
    <mergeCell ref="I56:I57"/>
    <mergeCell ref="H58:H59"/>
    <mergeCell ref="I58:I59"/>
    <mergeCell ref="D50:D51"/>
    <mergeCell ref="E50:E51"/>
    <mergeCell ref="F50:F51"/>
    <mergeCell ref="D52:D53"/>
    <mergeCell ref="E52:E53"/>
    <mergeCell ref="F52:F53"/>
    <mergeCell ref="D54:D55"/>
    <mergeCell ref="E54:E55"/>
    <mergeCell ref="F54:F55"/>
    <mergeCell ref="D44:D45"/>
    <mergeCell ref="E44:E45"/>
    <mergeCell ref="F44:F45"/>
    <mergeCell ref="D46:D47"/>
    <mergeCell ref="E46:E47"/>
    <mergeCell ref="F46:F47"/>
    <mergeCell ref="D48:D49"/>
    <mergeCell ref="E48:E49"/>
    <mergeCell ref="F48:F49"/>
    <mergeCell ref="A18:A19"/>
    <mergeCell ref="B18:B19"/>
    <mergeCell ref="C18:C19"/>
    <mergeCell ref="D18:D19"/>
    <mergeCell ref="E18:E19"/>
    <mergeCell ref="E2:G3"/>
    <mergeCell ref="A14:A15"/>
    <mergeCell ref="B14:C14"/>
    <mergeCell ref="D14:F14"/>
    <mergeCell ref="A16:A17"/>
    <mergeCell ref="B16:B17"/>
    <mergeCell ref="C16:C17"/>
    <mergeCell ref="D16:D17"/>
    <mergeCell ref="E16:E17"/>
    <mergeCell ref="F16:F17"/>
    <mergeCell ref="F18:F19"/>
    <mergeCell ref="G18:G19"/>
    <mergeCell ref="H18:H19"/>
    <mergeCell ref="I18:I19"/>
    <mergeCell ref="L18:L19"/>
    <mergeCell ref="M18:M19"/>
    <mergeCell ref="G16:G17"/>
    <mergeCell ref="H16:H17"/>
    <mergeCell ref="I16:I17"/>
    <mergeCell ref="L16:L17"/>
    <mergeCell ref="M16:M17"/>
    <mergeCell ref="A22:A23"/>
    <mergeCell ref="B22:B23"/>
    <mergeCell ref="C22:C23"/>
    <mergeCell ref="D22:D23"/>
    <mergeCell ref="E22:E23"/>
    <mergeCell ref="A20:A21"/>
    <mergeCell ref="B20:B21"/>
    <mergeCell ref="C20:C21"/>
    <mergeCell ref="D20:D21"/>
    <mergeCell ref="E20:E21"/>
    <mergeCell ref="F22:F23"/>
    <mergeCell ref="G22:G23"/>
    <mergeCell ref="H22:H23"/>
    <mergeCell ref="I22:I23"/>
    <mergeCell ref="L22:L23"/>
    <mergeCell ref="M22:M23"/>
    <mergeCell ref="G20:G21"/>
    <mergeCell ref="H20:H21"/>
    <mergeCell ref="I20:I21"/>
    <mergeCell ref="L20:L21"/>
    <mergeCell ref="M20:M21"/>
    <mergeCell ref="F20:F21"/>
    <mergeCell ref="A26:A27"/>
    <mergeCell ref="B26:B27"/>
    <mergeCell ref="C26:C27"/>
    <mergeCell ref="D26:D27"/>
    <mergeCell ref="E26:E27"/>
    <mergeCell ref="A24:A25"/>
    <mergeCell ref="B24:B25"/>
    <mergeCell ref="C24:C25"/>
    <mergeCell ref="D24:D25"/>
    <mergeCell ref="E24:E25"/>
    <mergeCell ref="F26:F27"/>
    <mergeCell ref="G26:G27"/>
    <mergeCell ref="H26:H27"/>
    <mergeCell ref="I26:I27"/>
    <mergeCell ref="L26:L27"/>
    <mergeCell ref="M26:M27"/>
    <mergeCell ref="G24:G25"/>
    <mergeCell ref="H24:H25"/>
    <mergeCell ref="I24:I25"/>
    <mergeCell ref="L24:L25"/>
    <mergeCell ref="M24:M25"/>
    <mergeCell ref="F24:F25"/>
    <mergeCell ref="A30:A31"/>
    <mergeCell ref="B30:B31"/>
    <mergeCell ref="C30:C31"/>
    <mergeCell ref="D30:D31"/>
    <mergeCell ref="E30:E31"/>
    <mergeCell ref="A28:A29"/>
    <mergeCell ref="B28:B29"/>
    <mergeCell ref="C28:C29"/>
    <mergeCell ref="D28:D29"/>
    <mergeCell ref="E28:E29"/>
    <mergeCell ref="F30:F31"/>
    <mergeCell ref="G30:G31"/>
    <mergeCell ref="H30:H31"/>
    <mergeCell ref="I30:I31"/>
    <mergeCell ref="L30:L31"/>
    <mergeCell ref="M30:M31"/>
    <mergeCell ref="G28:G29"/>
    <mergeCell ref="H28:H29"/>
    <mergeCell ref="I28:I29"/>
    <mergeCell ref="L28:L29"/>
    <mergeCell ref="M28:M29"/>
    <mergeCell ref="F28:F29"/>
    <mergeCell ref="A34:A35"/>
    <mergeCell ref="B34:B35"/>
    <mergeCell ref="C34:C35"/>
    <mergeCell ref="D34:D35"/>
    <mergeCell ref="E34:E35"/>
    <mergeCell ref="A32:A33"/>
    <mergeCell ref="B32:B33"/>
    <mergeCell ref="C32:C33"/>
    <mergeCell ref="D32:D33"/>
    <mergeCell ref="E32:E33"/>
    <mergeCell ref="F34:F35"/>
    <mergeCell ref="G34:G35"/>
    <mergeCell ref="H34:H35"/>
    <mergeCell ref="I34:I35"/>
    <mergeCell ref="L34:L35"/>
    <mergeCell ref="M34:M35"/>
    <mergeCell ref="G32:G33"/>
    <mergeCell ref="H32:H33"/>
    <mergeCell ref="I32:I33"/>
    <mergeCell ref="L32:L33"/>
    <mergeCell ref="M32:M33"/>
    <mergeCell ref="F32:F33"/>
    <mergeCell ref="A38:A39"/>
    <mergeCell ref="B38:B39"/>
    <mergeCell ref="C38:C39"/>
    <mergeCell ref="D38:D39"/>
    <mergeCell ref="E38:E39"/>
    <mergeCell ref="A36:A37"/>
    <mergeCell ref="B36:B37"/>
    <mergeCell ref="C36:C37"/>
    <mergeCell ref="D36:D37"/>
    <mergeCell ref="E36:E37"/>
    <mergeCell ref="F38:F39"/>
    <mergeCell ref="G38:G39"/>
    <mergeCell ref="H38:H39"/>
    <mergeCell ref="I38:I39"/>
    <mergeCell ref="L38:L39"/>
    <mergeCell ref="M38:M39"/>
    <mergeCell ref="G36:G37"/>
    <mergeCell ref="H36:H37"/>
    <mergeCell ref="I36:I37"/>
    <mergeCell ref="L36:L37"/>
    <mergeCell ref="M36:M37"/>
    <mergeCell ref="F36:F37"/>
    <mergeCell ref="G40:G41"/>
    <mergeCell ref="H40:H41"/>
    <mergeCell ref="I40:I41"/>
    <mergeCell ref="L40:L41"/>
    <mergeCell ref="M40:M41"/>
    <mergeCell ref="J60:K60"/>
    <mergeCell ref="A40:A41"/>
    <mergeCell ref="B40:B41"/>
    <mergeCell ref="C40:C41"/>
    <mergeCell ref="D40:D41"/>
    <mergeCell ref="E40:E41"/>
    <mergeCell ref="F40:F41"/>
    <mergeCell ref="G42:G43"/>
    <mergeCell ref="G44:G45"/>
    <mergeCell ref="G46:G47"/>
    <mergeCell ref="G48:G49"/>
    <mergeCell ref="G50:G51"/>
    <mergeCell ref="G52:G53"/>
    <mergeCell ref="G54:G55"/>
    <mergeCell ref="G56:G57"/>
    <mergeCell ref="G58:G59"/>
    <mergeCell ref="D42:D43"/>
    <mergeCell ref="E42:E43"/>
    <mergeCell ref="F42:F43"/>
  </mergeCells>
  <dataValidations count="14">
    <dataValidation type="list" allowBlank="1" showInputMessage="1" showErrorMessage="1" sqref="D16:D17" xr:uid="{00000000-0002-0000-0900-000001000000}">
      <formula1>$J$16:$J$17</formula1>
    </dataValidation>
    <dataValidation type="list" allowBlank="1" showInputMessage="1" showErrorMessage="1" sqref="D18:D19" xr:uid="{00000000-0002-0000-0900-000002000000}">
      <formula1>$J$18:$J$19</formula1>
    </dataValidation>
    <dataValidation type="list" allowBlank="1" showInputMessage="1" showErrorMessage="1" sqref="D20:D21" xr:uid="{00000000-0002-0000-0900-000003000000}">
      <formula1>$J$20:$J$21</formula1>
    </dataValidation>
    <dataValidation type="list" allowBlank="1" showInputMessage="1" showErrorMessage="1" sqref="D22:D23" xr:uid="{00000000-0002-0000-0900-000004000000}">
      <formula1>$J$22:$J$23</formula1>
    </dataValidation>
    <dataValidation type="list" allowBlank="1" showInputMessage="1" showErrorMessage="1" sqref="D24:D25" xr:uid="{00000000-0002-0000-0900-000005000000}">
      <formula1>$J$24:$J$25</formula1>
    </dataValidation>
    <dataValidation type="list" allowBlank="1" showInputMessage="1" showErrorMessage="1" sqref="D26:D27" xr:uid="{00000000-0002-0000-0900-000006000000}">
      <formula1>$J$26:$J$27</formula1>
    </dataValidation>
    <dataValidation type="list" allowBlank="1" showInputMessage="1" showErrorMessage="1" sqref="D28:D29" xr:uid="{00000000-0002-0000-0900-000007000000}">
      <formula1>$J$28:$J$29</formula1>
    </dataValidation>
    <dataValidation type="list" allowBlank="1" showInputMessage="1" showErrorMessage="1" sqref="D34:D35" xr:uid="{00000000-0002-0000-0900-000008000000}">
      <formula1>$J$34:$J$35</formula1>
    </dataValidation>
    <dataValidation type="list" allowBlank="1" showInputMessage="1" showErrorMessage="1" sqref="D36:D37" xr:uid="{00000000-0002-0000-0900-000009000000}">
      <formula1>$J$36:$J$37</formula1>
    </dataValidation>
    <dataValidation type="list" allowBlank="1" showInputMessage="1" showErrorMessage="1" sqref="D38:D39" xr:uid="{00000000-0002-0000-0900-00000A000000}">
      <formula1>$J$38:$J$39</formula1>
    </dataValidation>
    <dataValidation type="list" allowBlank="1" showInputMessage="1" showErrorMessage="1" sqref="D40:D59" xr:uid="{00000000-0002-0000-0900-00000E000000}">
      <formula1>$J$40:$J$41</formula1>
    </dataValidation>
    <dataValidation type="list" allowBlank="1" showInputMessage="1" showErrorMessage="1" sqref="D30:D31" xr:uid="{00000000-0002-0000-0900-00000F000000}">
      <formula1>$J$30:$J$31</formula1>
    </dataValidation>
    <dataValidation type="list" allowBlank="1" showInputMessage="1" showErrorMessage="1" sqref="D32:D33" xr:uid="{00000000-0002-0000-0900-000010000000}">
      <formula1>$J$31:$J$33</formula1>
    </dataValidation>
    <dataValidation allowBlank="1" showInputMessage="1" showErrorMessage="1" sqref="B16:B59" xr:uid="{00000000-0002-0000-0900-000011000000}"/>
  </dataValidations>
  <pageMargins left="0.25" right="0.25" top="0.75" bottom="0.75" header="0.3" footer="0.3"/>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6A8F6E-827D-4678-A5DD-E30C6454902B}">
          <x14:formula1>
            <xm:f>'Response Guidelines'!$D$80:$D$86</xm:f>
          </x14:formula1>
          <xm:sqref>G16:G59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6 n H G W C d U W J 2 l A A A A 9 w A A A B I A H A B D b 2 5 m a W c v U G F j a 2 F n Z S 5 4 b W w g o h g A K K A U A A A A A A A A A A A A A A A A A A A A A A A A A A A A h Y 9 N C s I w G E S v U r J v / u p C S p o i b i 0 I g o i 7 E G M b b L 9 K k 5 r e z Y V H 8 g p W t O r O 5 b x 5 i 5 n 7 9 S b y o a m j i + m c b S F D D F M U G d D t w U K Z o d 4 f 4 z n K p V g r f V K l i U Y Z X D q 4 Q 4 Y q 7 8 8 p I S E E H B L c d i X h l D K y K 1 Y b X Z l G o Y 9 s / 8 u x B e c V a I O k 2 L 7 G S I 4 Z m 2 H O e Y K p I B M V h Y W v w c f B z / Y H i m V f + 7 4 z 0 k C 8 X w g y R U H e J + Q D U E s D B B Q A A g A I A O p x x 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c c Z Y K I p H u A 4 A A A A R A A A A E w A c A E Z v c m 1 1 b G F z L 1 N l Y 3 R p b 2 4 x L m 0 g o h g A K K A U A A A A A A A A A A A A A A A A A A A A A A A A A A A A K 0 5 N L s n M z 1 M I h t C G 1 g B Q S w E C L Q A U A A I A C A D q c c Z Y J 1 R Y n a U A A A D 3 A A A A E g A A A A A A A A A A A A A A A A A A A A A A Q 2 9 u Z m l n L 1 B h Y 2 t h Z 2 U u e G 1 s U E s B A i 0 A F A A C A A g A 6 n H G W A / K 6 a u k A A A A 6 Q A A A B M A A A A A A A A A A A A A A A A A 8 Q A A A F t D b 2 5 0 Z W 5 0 X 1 R 5 c G V z X S 5 4 b W x Q S w E C L Q A U A A I A C A D q c c 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w a m f 8 7 u P E i w S 7 z v g F i n Y A A A A A A C A A A A A A A D Z g A A w A A A A B A A A A B i E X i c y E 4 e b v r X 0 7 p Z 0 r u y A A A A A A S A A A C g A A A A E A A A A E Q w T O + 2 d 7 H g w B n F I V V + 6 b R Q A A A A x n 4 5 W 2 j g 3 i s h 8 5 x G X G Z L U i u + 9 1 a i K J s Z j Y l X B 4 x k j 5 L N M 3 O Y e V W 4 x P 7 P v D 2 M 5 z t 7 6 8 w 9 b m h f R V f M 0 q G K M p V S F c h X c v o j m Z r 6 p e Z l W L u z k L U U A A A A 4 A P d Y z U 1 N + V 4 X X K c F m 8 A m c c u w C 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3616648FFFDD44B8203CEDE9E01971E" ma:contentTypeVersion="4" ma:contentTypeDescription="Create a new document." ma:contentTypeScope="" ma:versionID="99f2ec0d8e14552cb450566113dcb376">
  <xsd:schema xmlns:xsd="http://www.w3.org/2001/XMLSchema" xmlns:xs="http://www.w3.org/2001/XMLSchema" xmlns:p="http://schemas.microsoft.com/office/2006/metadata/properties" xmlns:ns2="444d0c7c-1868-4c06-abeb-71a6ed46a0e7" targetNamespace="http://schemas.microsoft.com/office/2006/metadata/properties" ma:root="true" ma:fieldsID="b42c246feb3a68bea437be5a270b043a" ns2:_="">
    <xsd:import namespace="444d0c7c-1868-4c06-abeb-71a6ed46a0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d0c7c-1868-4c06-abeb-71a6ed46a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85F305-2260-4C09-9BA9-F24EECEFBCC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C1B625-7CCC-4D98-AB6D-635AEF434823}">
  <ds:schemaRefs>
    <ds:schemaRef ds:uri="http://schemas.microsoft.com/DataMashup"/>
  </ds:schemaRefs>
</ds:datastoreItem>
</file>

<file path=customXml/itemProps3.xml><?xml version="1.0" encoding="utf-8"?>
<ds:datastoreItem xmlns:ds="http://schemas.openxmlformats.org/officeDocument/2006/customXml" ds:itemID="{1BBE80FD-638F-45E4-A29B-0A35030C216A}">
  <ds:schemaRefs>
    <ds:schemaRef ds:uri="http://schemas.microsoft.com/sharepoint/v3/contenttype/forms"/>
  </ds:schemaRefs>
</ds:datastoreItem>
</file>

<file path=customXml/itemProps4.xml><?xml version="1.0" encoding="utf-8"?>
<ds:datastoreItem xmlns:ds="http://schemas.openxmlformats.org/officeDocument/2006/customXml" ds:itemID="{54C578F6-6D0D-4785-A034-5D9298149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d0c7c-1868-4c06-abeb-71a6ed46a0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TEC Development Guidelines</vt:lpstr>
      <vt:lpstr>Response Guidelines</vt:lpstr>
      <vt:lpstr>Scoring Summary</vt:lpstr>
      <vt:lpstr>Key Requirements</vt:lpstr>
      <vt:lpstr>Functional</vt:lpstr>
      <vt:lpstr>Non-Functional</vt:lpstr>
      <vt:lpstr>Testing (2)</vt:lpstr>
      <vt:lpstr>Cloud</vt:lpstr>
      <vt:lpstr>Security</vt:lpstr>
      <vt:lpstr>Demo</vt:lpstr>
      <vt:lpstr>0</vt:lpstr>
      <vt:lpstr>Definitions and Abbreviations</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 Jean-Louis</dc:creator>
  <cp:keywords/>
  <dc:description/>
  <cp:lastModifiedBy>Lerato Mokgoatjana</cp:lastModifiedBy>
  <cp:revision/>
  <dcterms:created xsi:type="dcterms:W3CDTF">2024-04-23T18:05:00Z</dcterms:created>
  <dcterms:modified xsi:type="dcterms:W3CDTF">2025-07-28T13:39:18Z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0x010100C3616648FFFDD44B8203CEDE9E01971E</vt:lpwstr>
  </property>
</Properties>
</file>